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vbaProject.bin" ContentType="application/vnd.ms-office.vbaProject"/>
  <Override PartName="/xl/charts/colors1.xml" ContentType="application/vnd.ms-office.chartcolorstyle+xml"/>
  <Override PartName="/xl/worksheets/sheet1.xml" ContentType="application/vnd.openxmlformats-officedocument.spreadsheetml.worksheet+xml"/>
  <Override PartName="/xl/charts/style1.xml" ContentType="application/vnd.ms-office.chart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comments1.xml" ContentType="application/vnd.openxmlformats-officedocument.spreadsheetml.comment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ean-Marc\Desktop\8.3_Anexo_Financiero\8.3.3 Montaje Financiero\Alternativa 3_ok\"/>
    </mc:Choice>
  </mc:AlternateContent>
  <bookViews>
    <workbookView xWindow="0" yWindow="0" windowWidth="16176" windowHeight="6132" tabRatio="937"/>
  </bookViews>
  <sheets>
    <sheet name="Mensaje" sheetId="10" r:id="rId1"/>
    <sheet name="Global Financial Model" sheetId="5" state="hidden" r:id="rId2"/>
    <sheet name="Project Finance Model" sheetId="3" state="hidden" r:id="rId3"/>
    <sheet name="Balance_SPV" sheetId="7" state="hidden" r:id="rId4"/>
    <sheet name="Balance_Municipality" sheetId="9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3" l="1"/>
  <c r="H147" i="3" s="1"/>
  <c r="F50" i="3"/>
  <c r="G50" i="3"/>
  <c r="K179" i="3" s="1"/>
  <c r="H50" i="3"/>
  <c r="L179" i="3" s="1"/>
  <c r="I50" i="3"/>
  <c r="O179" i="3" s="1"/>
  <c r="N179" i="3"/>
  <c r="R179" i="3"/>
  <c r="V179" i="3"/>
  <c r="Z179" i="3"/>
  <c r="AD179" i="3"/>
  <c r="AH179" i="3"/>
  <c r="AL179" i="3"/>
  <c r="J179" i="3"/>
  <c r="I147" i="3"/>
  <c r="F147" i="3"/>
  <c r="G147" i="3" l="1"/>
  <c r="AK179" i="3"/>
  <c r="AG179" i="3"/>
  <c r="AC179" i="3"/>
  <c r="Y179" i="3"/>
  <c r="U179" i="3"/>
  <c r="Q179" i="3"/>
  <c r="M179" i="3"/>
  <c r="AJ179" i="3"/>
  <c r="AF179" i="3"/>
  <c r="AB179" i="3"/>
  <c r="X179" i="3"/>
  <c r="T179" i="3"/>
  <c r="P179" i="3"/>
  <c r="AM179" i="3"/>
  <c r="AI179" i="3"/>
  <c r="AE179" i="3"/>
  <c r="AA179" i="3"/>
  <c r="W179" i="3"/>
  <c r="S179" i="3"/>
  <c r="F49" i="3" l="1"/>
  <c r="G49" i="3"/>
  <c r="H49" i="3"/>
  <c r="I49" i="3"/>
  <c r="E49" i="3"/>
  <c r="F156" i="3" l="1"/>
  <c r="G156" i="3"/>
  <c r="H156" i="3"/>
  <c r="I156" i="3"/>
  <c r="D19" i="3" l="1"/>
  <c r="I110" i="3"/>
  <c r="I213" i="3" s="1"/>
  <c r="H213" i="3"/>
  <c r="J213" i="3"/>
  <c r="K213" i="3"/>
  <c r="L213" i="3"/>
  <c r="M213" i="3"/>
  <c r="N213" i="3"/>
  <c r="O213" i="3"/>
  <c r="P213" i="3"/>
  <c r="Q213" i="3"/>
  <c r="R213" i="3"/>
  <c r="S213" i="3"/>
  <c r="T213" i="3"/>
  <c r="U213" i="3"/>
  <c r="V213" i="3"/>
  <c r="W213" i="3"/>
  <c r="X213" i="3"/>
  <c r="Y213" i="3"/>
  <c r="Z213" i="3"/>
  <c r="AA213" i="3"/>
  <c r="AB213" i="3"/>
  <c r="AC213" i="3"/>
  <c r="AD213" i="3"/>
  <c r="AE213" i="3"/>
  <c r="AF213" i="3"/>
  <c r="AG213" i="3"/>
  <c r="AH213" i="3"/>
  <c r="AI213" i="3"/>
  <c r="AJ213" i="3"/>
  <c r="AK213" i="3"/>
  <c r="AL213" i="3"/>
  <c r="AM213" i="3"/>
  <c r="G213" i="3"/>
  <c r="F213" i="3"/>
  <c r="E244" i="3" l="1"/>
  <c r="G243" i="3"/>
  <c r="H243" i="3"/>
  <c r="I243" i="3"/>
  <c r="J243" i="3"/>
  <c r="K243" i="3"/>
  <c r="L243" i="3"/>
  <c r="M243" i="3"/>
  <c r="N243" i="3"/>
  <c r="O243" i="3"/>
  <c r="P243" i="3"/>
  <c r="Q243" i="3"/>
  <c r="R243" i="3"/>
  <c r="S243" i="3"/>
  <c r="T243" i="3"/>
  <c r="U243" i="3"/>
  <c r="V243" i="3"/>
  <c r="W243" i="3"/>
  <c r="X243" i="3"/>
  <c r="Y243" i="3"/>
  <c r="Z243" i="3"/>
  <c r="AA243" i="3"/>
  <c r="AB243" i="3"/>
  <c r="AC243" i="3"/>
  <c r="AD243" i="3"/>
  <c r="AE243" i="3"/>
  <c r="AF243" i="3"/>
  <c r="AG243" i="3"/>
  <c r="AH243" i="3"/>
  <c r="AI243" i="3"/>
  <c r="AJ243" i="3"/>
  <c r="AK243" i="3"/>
  <c r="AL243" i="3"/>
  <c r="F243" i="3"/>
  <c r="C243" i="3"/>
  <c r="F240" i="3"/>
  <c r="G240" i="3"/>
  <c r="H240" i="3"/>
  <c r="I240" i="3"/>
  <c r="C240" i="3"/>
  <c r="E44" i="3" l="1"/>
  <c r="E46" i="3" l="1"/>
  <c r="E97" i="3" s="1"/>
  <c r="D97" i="3"/>
  <c r="H216" i="3"/>
  <c r="I216" i="3"/>
  <c r="G216" i="3"/>
  <c r="F216" i="3"/>
  <c r="F109" i="5" l="1"/>
  <c r="F110" i="5" s="1"/>
  <c r="E109" i="5"/>
  <c r="E110" i="5" s="1"/>
  <c r="D109" i="5"/>
  <c r="D110" i="5" s="1"/>
  <c r="C109" i="5"/>
  <c r="C110" i="5" s="1"/>
  <c r="AS99" i="5"/>
  <c r="AR99" i="5"/>
  <c r="AQ99" i="5"/>
  <c r="AP99" i="5"/>
  <c r="AO99" i="5"/>
  <c r="AN99" i="5"/>
  <c r="AM99" i="5"/>
  <c r="AL99" i="5"/>
  <c r="AK99" i="5"/>
  <c r="AI99" i="5"/>
  <c r="AH99" i="5"/>
  <c r="AG99" i="5"/>
  <c r="AF99" i="5"/>
  <c r="AE99" i="5"/>
  <c r="AD99" i="5"/>
  <c r="AC99" i="5"/>
  <c r="AB99" i="5"/>
  <c r="AA99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E106" i="5" s="1"/>
  <c r="E118" i="5" s="1"/>
  <c r="D99" i="5"/>
  <c r="D103" i="5" s="1"/>
  <c r="C99" i="5"/>
  <c r="C106" i="5" s="1"/>
  <c r="AT79" i="5"/>
  <c r="AS79" i="5"/>
  <c r="AR79" i="5"/>
  <c r="AQ79" i="5"/>
  <c r="AP79" i="5"/>
  <c r="AO79" i="5"/>
  <c r="AN79" i="5"/>
  <c r="AM79" i="5"/>
  <c r="AL79" i="5"/>
  <c r="AK79" i="5"/>
  <c r="AJ79" i="5"/>
  <c r="AI79" i="5"/>
  <c r="AH79" i="5"/>
  <c r="AG79" i="5"/>
  <c r="AF79" i="5"/>
  <c r="AE79" i="5"/>
  <c r="AD79" i="5"/>
  <c r="AC79" i="5"/>
  <c r="AB79" i="5"/>
  <c r="AA79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K79" i="5"/>
  <c r="J79" i="5"/>
  <c r="I79" i="5"/>
  <c r="H79" i="5"/>
  <c r="G79" i="5"/>
  <c r="AT75" i="5"/>
  <c r="AT76" i="5" s="1"/>
  <c r="AS75" i="5"/>
  <c r="AS76" i="5" s="1"/>
  <c r="AR75" i="5"/>
  <c r="AR76" i="5" s="1"/>
  <c r="AQ75" i="5"/>
  <c r="AQ76" i="5" s="1"/>
  <c r="AP75" i="5"/>
  <c r="AP76" i="5" s="1"/>
  <c r="AO75" i="5"/>
  <c r="AO76" i="5" s="1"/>
  <c r="AN75" i="5"/>
  <c r="AN76" i="5" s="1"/>
  <c r="AM75" i="5"/>
  <c r="AM76" i="5" s="1"/>
  <c r="AL75" i="5"/>
  <c r="AL76" i="5" s="1"/>
  <c r="AK75" i="5"/>
  <c r="AK76" i="5" s="1"/>
  <c r="AJ75" i="5"/>
  <c r="AJ76" i="5" s="1"/>
  <c r="AI75" i="5"/>
  <c r="AI76" i="5" s="1"/>
  <c r="AH75" i="5"/>
  <c r="AH76" i="5" s="1"/>
  <c r="AG75" i="5"/>
  <c r="AG76" i="5" s="1"/>
  <c r="AF75" i="5"/>
  <c r="AF76" i="5" s="1"/>
  <c r="AE75" i="5"/>
  <c r="AE76" i="5" s="1"/>
  <c r="AD75" i="5"/>
  <c r="AD76" i="5" s="1"/>
  <c r="AC75" i="5"/>
  <c r="AC76" i="5" s="1"/>
  <c r="AB75" i="5"/>
  <c r="AB76" i="5" s="1"/>
  <c r="AA75" i="5"/>
  <c r="AA76" i="5" s="1"/>
  <c r="Z75" i="5"/>
  <c r="Z76" i="5" s="1"/>
  <c r="Y75" i="5"/>
  <c r="Y76" i="5" s="1"/>
  <c r="X75" i="5"/>
  <c r="X76" i="5" s="1"/>
  <c r="W75" i="5"/>
  <c r="W76" i="5" s="1"/>
  <c r="V75" i="5"/>
  <c r="V76" i="5" s="1"/>
  <c r="U75" i="5"/>
  <c r="U76" i="5" s="1"/>
  <c r="T75" i="5"/>
  <c r="T76" i="5" s="1"/>
  <c r="S75" i="5"/>
  <c r="S76" i="5" s="1"/>
  <c r="R75" i="5"/>
  <c r="R76" i="5" s="1"/>
  <c r="Q75" i="5"/>
  <c r="Q76" i="5" s="1"/>
  <c r="P75" i="5"/>
  <c r="P76" i="5" s="1"/>
  <c r="O75" i="5"/>
  <c r="O76" i="5" s="1"/>
  <c r="N75" i="5"/>
  <c r="N76" i="5" s="1"/>
  <c r="M75" i="5"/>
  <c r="M76" i="5" s="1"/>
  <c r="L75" i="5"/>
  <c r="L76" i="5" s="1"/>
  <c r="K75" i="5"/>
  <c r="K76" i="5" s="1"/>
  <c r="J75" i="5"/>
  <c r="J76" i="5" s="1"/>
  <c r="I75" i="5"/>
  <c r="I76" i="5" s="1"/>
  <c r="H75" i="5"/>
  <c r="H76" i="5" s="1"/>
  <c r="G75" i="5"/>
  <c r="G76" i="5" s="1"/>
  <c r="F71" i="5"/>
  <c r="E71" i="5"/>
  <c r="D71" i="5"/>
  <c r="C71" i="5"/>
  <c r="AT68" i="5"/>
  <c r="AS68" i="5"/>
  <c r="AR68" i="5"/>
  <c r="AQ68" i="5"/>
  <c r="AP68" i="5"/>
  <c r="AO68" i="5"/>
  <c r="AO69" i="5" s="1"/>
  <c r="AP69" i="5" s="1"/>
  <c r="AC67" i="5"/>
  <c r="AO66" i="5"/>
  <c r="AO67" i="5" s="1"/>
  <c r="AM66" i="5"/>
  <c r="AL66" i="5"/>
  <c r="AK66" i="5"/>
  <c r="AJ66" i="5"/>
  <c r="AI66" i="5"/>
  <c r="AH66" i="5"/>
  <c r="AG66" i="5"/>
  <c r="AF66" i="5"/>
  <c r="AE66" i="5"/>
  <c r="AD66" i="5"/>
  <c r="AC66" i="5"/>
  <c r="AO64" i="5"/>
  <c r="AO65" i="5" s="1"/>
  <c r="AL64" i="5"/>
  <c r="AK64" i="5"/>
  <c r="AJ64" i="5"/>
  <c r="AI64" i="5"/>
  <c r="AH64" i="5"/>
  <c r="AG64" i="5"/>
  <c r="AF64" i="5"/>
  <c r="AE64" i="5"/>
  <c r="AD64" i="5"/>
  <c r="AC64" i="5"/>
  <c r="AB64" i="5"/>
  <c r="AA64" i="5"/>
  <c r="Z64" i="5"/>
  <c r="Y64" i="5"/>
  <c r="X64" i="5"/>
  <c r="X65" i="5" s="1"/>
  <c r="R63" i="5"/>
  <c r="AB62" i="5"/>
  <c r="AA62" i="5"/>
  <c r="Z62" i="5"/>
  <c r="Y62" i="5"/>
  <c r="X62" i="5"/>
  <c r="W62" i="5"/>
  <c r="V62" i="5"/>
  <c r="U62" i="5"/>
  <c r="T62" i="5"/>
  <c r="S62" i="5"/>
  <c r="R62" i="5"/>
  <c r="K60" i="5"/>
  <c r="J60" i="5"/>
  <c r="I60" i="5"/>
  <c r="H60" i="5"/>
  <c r="G60" i="5"/>
  <c r="P59" i="5"/>
  <c r="O59" i="5"/>
  <c r="N59" i="5"/>
  <c r="M59" i="5"/>
  <c r="L59" i="5"/>
  <c r="K59" i="5"/>
  <c r="J59" i="5"/>
  <c r="I59" i="5"/>
  <c r="H59" i="5"/>
  <c r="G59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AT56" i="5"/>
  <c r="AS56" i="5"/>
  <c r="AR56" i="5"/>
  <c r="AQ56" i="5"/>
  <c r="AP56" i="5"/>
  <c r="AO56" i="5"/>
  <c r="AN56" i="5"/>
  <c r="AN70" i="5" s="1"/>
  <c r="AN88" i="5" s="1"/>
  <c r="AN92" i="5" s="1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Q70" i="5" s="1"/>
  <c r="Q88" i="5" s="1"/>
  <c r="Q92" i="5" s="1"/>
  <c r="P56" i="5"/>
  <c r="O56" i="5"/>
  <c r="N56" i="5"/>
  <c r="M56" i="5"/>
  <c r="L56" i="5"/>
  <c r="K56" i="5"/>
  <c r="J56" i="5"/>
  <c r="I56" i="5"/>
  <c r="H56" i="5"/>
  <c r="G56" i="5"/>
  <c r="G54" i="5"/>
  <c r="AP54" i="5" s="1"/>
  <c r="AP80" i="5" s="1"/>
  <c r="Y65" i="5" l="1"/>
  <c r="Z65" i="5" s="1"/>
  <c r="AA65" i="5" s="1"/>
  <c r="AB65" i="5" s="1"/>
  <c r="AC65" i="5" s="1"/>
  <c r="AD65" i="5" s="1"/>
  <c r="AE65" i="5" s="1"/>
  <c r="AF65" i="5" s="1"/>
  <c r="AG65" i="5" s="1"/>
  <c r="AH65" i="5" s="1"/>
  <c r="AI65" i="5" s="1"/>
  <c r="AJ65" i="5" s="1"/>
  <c r="AK65" i="5" s="1"/>
  <c r="AL65" i="5" s="1"/>
  <c r="AD67" i="5"/>
  <c r="AE67" i="5" s="1"/>
  <c r="AF67" i="5" s="1"/>
  <c r="AG67" i="5" s="1"/>
  <c r="AH67" i="5" s="1"/>
  <c r="AI67" i="5" s="1"/>
  <c r="AJ67" i="5" s="1"/>
  <c r="AK67" i="5" s="1"/>
  <c r="AL67" i="5" s="1"/>
  <c r="AM67" i="5" s="1"/>
  <c r="C103" i="5"/>
  <c r="C125" i="5" s="1"/>
  <c r="N70" i="5"/>
  <c r="N88" i="5" s="1"/>
  <c r="N92" i="5" s="1"/>
  <c r="U70" i="5"/>
  <c r="U88" i="5" s="1"/>
  <c r="U92" i="5" s="1"/>
  <c r="Y70" i="5"/>
  <c r="Y88" i="5" s="1"/>
  <c r="Y92" i="5" s="1"/>
  <c r="R70" i="5"/>
  <c r="R88" i="5" s="1"/>
  <c r="R92" i="5" s="1"/>
  <c r="V70" i="5"/>
  <c r="V88" i="5" s="1"/>
  <c r="V92" i="5" s="1"/>
  <c r="Z70" i="5"/>
  <c r="Z88" i="5" s="1"/>
  <c r="Z92" i="5" s="1"/>
  <c r="S63" i="5"/>
  <c r="T63" i="5" s="1"/>
  <c r="U63" i="5" s="1"/>
  <c r="V63" i="5" s="1"/>
  <c r="W63" i="5" s="1"/>
  <c r="X63" i="5" s="1"/>
  <c r="Y63" i="5" s="1"/>
  <c r="Z63" i="5" s="1"/>
  <c r="AA63" i="5" s="1"/>
  <c r="AB63" i="5" s="1"/>
  <c r="AD70" i="5"/>
  <c r="AD88" i="5" s="1"/>
  <c r="AD92" i="5" s="1"/>
  <c r="AH70" i="5"/>
  <c r="AH88" i="5" s="1"/>
  <c r="AH92" i="5" s="1"/>
  <c r="AL70" i="5"/>
  <c r="AL88" i="5" s="1"/>
  <c r="AL92" i="5" s="1"/>
  <c r="AQ69" i="5"/>
  <c r="AR69" i="5" s="1"/>
  <c r="AS69" i="5" s="1"/>
  <c r="AT69" i="5" s="1"/>
  <c r="E103" i="5"/>
  <c r="E115" i="5" s="1"/>
  <c r="K70" i="5"/>
  <c r="K88" i="5" s="1"/>
  <c r="K92" i="5" s="1"/>
  <c r="O70" i="5"/>
  <c r="O88" i="5" s="1"/>
  <c r="O92" i="5" s="1"/>
  <c r="T70" i="5"/>
  <c r="T88" i="5" s="1"/>
  <c r="T92" i="5" s="1"/>
  <c r="D106" i="5"/>
  <c r="D118" i="5" s="1"/>
  <c r="AP66" i="5"/>
  <c r="AP67" i="5" s="1"/>
  <c r="AQ66" i="5" s="1"/>
  <c r="AQ67" i="5" s="1"/>
  <c r="Q54" i="5"/>
  <c r="Q80" i="5" s="1"/>
  <c r="Q81" i="5" s="1"/>
  <c r="T156" i="3" s="1"/>
  <c r="AA54" i="5"/>
  <c r="AA80" i="5" s="1"/>
  <c r="AA81" i="5" s="1"/>
  <c r="AD156" i="3" s="1"/>
  <c r="AL54" i="5"/>
  <c r="AL80" i="5" s="1"/>
  <c r="AL81" i="5" s="1"/>
  <c r="I54" i="5"/>
  <c r="I80" i="5" s="1"/>
  <c r="I81" i="5" s="1"/>
  <c r="L156" i="3" s="1"/>
  <c r="S54" i="5"/>
  <c r="S80" i="5" s="1"/>
  <c r="S81" i="5" s="1"/>
  <c r="V156" i="3" s="1"/>
  <c r="AD54" i="5"/>
  <c r="AD80" i="5" s="1"/>
  <c r="AD81" i="5" s="1"/>
  <c r="AG156" i="3" s="1"/>
  <c r="AO54" i="5"/>
  <c r="AO80" i="5" s="1"/>
  <c r="AO81" i="5" s="1"/>
  <c r="H70" i="5"/>
  <c r="H88" i="5" s="1"/>
  <c r="H92" i="5" s="1"/>
  <c r="L70" i="5"/>
  <c r="L88" i="5" s="1"/>
  <c r="L92" i="5" s="1"/>
  <c r="P70" i="5"/>
  <c r="P88" i="5" s="1"/>
  <c r="P92" i="5" s="1"/>
  <c r="AE70" i="5"/>
  <c r="AE88" i="5" s="1"/>
  <c r="AE92" i="5" s="1"/>
  <c r="AI70" i="5"/>
  <c r="AI88" i="5" s="1"/>
  <c r="AI92" i="5" s="1"/>
  <c r="AM70" i="5"/>
  <c r="AM88" i="5" s="1"/>
  <c r="AM92" i="5" s="1"/>
  <c r="K54" i="5"/>
  <c r="K80" i="5" s="1"/>
  <c r="K81" i="5" s="1"/>
  <c r="N156" i="3" s="1"/>
  <c r="V54" i="5"/>
  <c r="V80" i="5" s="1"/>
  <c r="V81" i="5" s="1"/>
  <c r="Y156" i="3" s="1"/>
  <c r="AG54" i="5"/>
  <c r="AG80" i="5" s="1"/>
  <c r="AG81" i="5" s="1"/>
  <c r="AJ156" i="3" s="1"/>
  <c r="AQ54" i="5"/>
  <c r="AQ80" i="5" s="1"/>
  <c r="M70" i="5"/>
  <c r="M88" i="5" s="1"/>
  <c r="M92" i="5" s="1"/>
  <c r="AF70" i="5"/>
  <c r="AF88" i="5" s="1"/>
  <c r="AF92" i="5" s="1"/>
  <c r="AJ70" i="5"/>
  <c r="AJ88" i="5" s="1"/>
  <c r="AJ92" i="5" s="1"/>
  <c r="N54" i="5"/>
  <c r="N80" i="5" s="1"/>
  <c r="N81" i="5" s="1"/>
  <c r="Q156" i="3" s="1"/>
  <c r="Y54" i="5"/>
  <c r="Y80" i="5" s="1"/>
  <c r="Y81" i="5" s="1"/>
  <c r="AB156" i="3" s="1"/>
  <c r="AI54" i="5"/>
  <c r="AI80" i="5" s="1"/>
  <c r="AI81" i="5" s="1"/>
  <c r="AL156" i="3" s="1"/>
  <c r="AT54" i="5"/>
  <c r="AT80" i="5" s="1"/>
  <c r="AT81" i="5" s="1"/>
  <c r="J70" i="5"/>
  <c r="J88" i="5" s="1"/>
  <c r="J92" i="5" s="1"/>
  <c r="W70" i="5"/>
  <c r="W88" i="5" s="1"/>
  <c r="W92" i="5" s="1"/>
  <c r="AA70" i="5"/>
  <c r="AA88" i="5" s="1"/>
  <c r="AA92" i="5" s="1"/>
  <c r="AP64" i="5"/>
  <c r="AQ81" i="5"/>
  <c r="J54" i="5"/>
  <c r="J80" i="5" s="1"/>
  <c r="J81" i="5" s="1"/>
  <c r="M156" i="3" s="1"/>
  <c r="O54" i="5"/>
  <c r="O80" i="5" s="1"/>
  <c r="O81" i="5" s="1"/>
  <c r="R156" i="3" s="1"/>
  <c r="U54" i="5"/>
  <c r="U80" i="5" s="1"/>
  <c r="U81" i="5" s="1"/>
  <c r="X156" i="3" s="1"/>
  <c r="Z54" i="5"/>
  <c r="Z80" i="5" s="1"/>
  <c r="Z81" i="5" s="1"/>
  <c r="AC156" i="3" s="1"/>
  <c r="AE54" i="5"/>
  <c r="AE80" i="5" s="1"/>
  <c r="AE81" i="5" s="1"/>
  <c r="AH156" i="3" s="1"/>
  <c r="AK54" i="5"/>
  <c r="AK80" i="5" s="1"/>
  <c r="AK81" i="5" s="1"/>
  <c r="G61" i="5"/>
  <c r="X70" i="5"/>
  <c r="X88" i="5" s="1"/>
  <c r="X92" i="5" s="1"/>
  <c r="AB70" i="5"/>
  <c r="AB88" i="5" s="1"/>
  <c r="AB92" i="5" s="1"/>
  <c r="AC70" i="5"/>
  <c r="AC88" i="5" s="1"/>
  <c r="AC92" i="5" s="1"/>
  <c r="AG70" i="5"/>
  <c r="AG88" i="5" s="1"/>
  <c r="AG92" i="5" s="1"/>
  <c r="AK70" i="5"/>
  <c r="AK88" i="5" s="1"/>
  <c r="AK92" i="5" s="1"/>
  <c r="S70" i="5"/>
  <c r="S88" i="5" s="1"/>
  <c r="S92" i="5" s="1"/>
  <c r="G80" i="5"/>
  <c r="G81" i="5" s="1"/>
  <c r="J156" i="3" s="1"/>
  <c r="AR54" i="5"/>
  <c r="AR80" i="5" s="1"/>
  <c r="AR81" i="5" s="1"/>
  <c r="AN54" i="5"/>
  <c r="AN80" i="5" s="1"/>
  <c r="AN81" i="5" s="1"/>
  <c r="AJ54" i="5"/>
  <c r="AJ80" i="5" s="1"/>
  <c r="AJ81" i="5" s="1"/>
  <c r="AM156" i="3" s="1"/>
  <c r="AF54" i="5"/>
  <c r="AF80" i="5" s="1"/>
  <c r="AF81" i="5" s="1"/>
  <c r="AI156" i="3" s="1"/>
  <c r="AB54" i="5"/>
  <c r="AB80" i="5" s="1"/>
  <c r="AB81" i="5" s="1"/>
  <c r="AE156" i="3" s="1"/>
  <c r="X54" i="5"/>
  <c r="X80" i="5" s="1"/>
  <c r="X81" i="5" s="1"/>
  <c r="AA156" i="3" s="1"/>
  <c r="T54" i="5"/>
  <c r="T80" i="5" s="1"/>
  <c r="T81" i="5" s="1"/>
  <c r="W156" i="3" s="1"/>
  <c r="P54" i="5"/>
  <c r="P80" i="5" s="1"/>
  <c r="P81" i="5" s="1"/>
  <c r="S156" i="3" s="1"/>
  <c r="L54" i="5"/>
  <c r="L80" i="5" s="1"/>
  <c r="L81" i="5" s="1"/>
  <c r="O156" i="3" s="1"/>
  <c r="H54" i="5"/>
  <c r="H80" i="5" s="1"/>
  <c r="H81" i="5" s="1"/>
  <c r="K156" i="3" s="1"/>
  <c r="M54" i="5"/>
  <c r="M80" i="5" s="1"/>
  <c r="M81" i="5" s="1"/>
  <c r="P156" i="3" s="1"/>
  <c r="R54" i="5"/>
  <c r="R80" i="5" s="1"/>
  <c r="R81" i="5" s="1"/>
  <c r="U156" i="3" s="1"/>
  <c r="W54" i="5"/>
  <c r="W80" i="5" s="1"/>
  <c r="W81" i="5" s="1"/>
  <c r="Z156" i="3" s="1"/>
  <c r="AC54" i="5"/>
  <c r="AC80" i="5" s="1"/>
  <c r="AC81" i="5" s="1"/>
  <c r="AF156" i="3" s="1"/>
  <c r="AH54" i="5"/>
  <c r="AH80" i="5" s="1"/>
  <c r="AH81" i="5" s="1"/>
  <c r="AK156" i="3" s="1"/>
  <c r="AM54" i="5"/>
  <c r="AM80" i="5" s="1"/>
  <c r="AM81" i="5" s="1"/>
  <c r="AS54" i="5"/>
  <c r="AS80" i="5" s="1"/>
  <c r="AS81" i="5" s="1"/>
  <c r="I70" i="5"/>
  <c r="I88" i="5" s="1"/>
  <c r="I92" i="5" s="1"/>
  <c r="AO70" i="5"/>
  <c r="AO88" i="5" s="1"/>
  <c r="AO92" i="5" s="1"/>
  <c r="G70" i="5"/>
  <c r="G88" i="5" s="1"/>
  <c r="G92" i="5" s="1"/>
  <c r="AP81" i="5"/>
  <c r="C118" i="5"/>
  <c r="F103" i="5"/>
  <c r="F106" i="5"/>
  <c r="F118" i="5" s="1"/>
  <c r="D125" i="5"/>
  <c r="D115" i="5"/>
  <c r="F101" i="5"/>
  <c r="C115" i="5" l="1"/>
  <c r="E125" i="5"/>
  <c r="AP70" i="5"/>
  <c r="AP88" i="5" s="1"/>
  <c r="AP92" i="5" s="1"/>
  <c r="AR66" i="5"/>
  <c r="AR67" i="5" s="1"/>
  <c r="AS66" i="5" s="1"/>
  <c r="AS67" i="5" s="1"/>
  <c r="H112" i="5"/>
  <c r="H83" i="5"/>
  <c r="AN112" i="5"/>
  <c r="AN113" i="5" s="1"/>
  <c r="AN83" i="5"/>
  <c r="P112" i="5"/>
  <c r="P113" i="5" s="1"/>
  <c r="P83" i="5"/>
  <c r="AF112" i="5"/>
  <c r="AF113" i="5" s="1"/>
  <c r="AF83" i="5"/>
  <c r="AC112" i="5"/>
  <c r="AC113" i="5" s="1"/>
  <c r="AC83" i="5"/>
  <c r="X112" i="5"/>
  <c r="X113" i="5" s="1"/>
  <c r="X83" i="5"/>
  <c r="U112" i="5"/>
  <c r="U113" i="5" s="1"/>
  <c r="U83" i="5"/>
  <c r="AH112" i="5"/>
  <c r="AH113" i="5" s="1"/>
  <c r="AH83" i="5"/>
  <c r="R112" i="5"/>
  <c r="R83" i="5"/>
  <c r="AG112" i="5"/>
  <c r="AG83" i="5"/>
  <c r="AR112" i="5"/>
  <c r="AR113" i="5" s="1"/>
  <c r="AR83" i="5"/>
  <c r="AB112" i="5"/>
  <c r="AB83" i="5"/>
  <c r="L112" i="5"/>
  <c r="L113" i="5" s="1"/>
  <c r="L83" i="5"/>
  <c r="G71" i="5"/>
  <c r="H61" i="5"/>
  <c r="AI112" i="5"/>
  <c r="AI113" i="5" s="1"/>
  <c r="AI83" i="5"/>
  <c r="AK112" i="5"/>
  <c r="AK113" i="5" s="1"/>
  <c r="AK83" i="5"/>
  <c r="AT112" i="5"/>
  <c r="AT113" i="5" s="1"/>
  <c r="AT83" i="5"/>
  <c r="AD112" i="5"/>
  <c r="AD113" i="5" s="1"/>
  <c r="AD83" i="5"/>
  <c r="N112" i="5"/>
  <c r="N113" i="5" s="1"/>
  <c r="N83" i="5"/>
  <c r="W112" i="5"/>
  <c r="W83" i="5"/>
  <c r="Y112" i="5"/>
  <c r="Y113" i="5" s="1"/>
  <c r="Y83" i="5"/>
  <c r="O112" i="5"/>
  <c r="O113" i="5" s="1"/>
  <c r="O83" i="5"/>
  <c r="AA112" i="5"/>
  <c r="AA113" i="5" s="1"/>
  <c r="AA83" i="5"/>
  <c r="AP65" i="5"/>
  <c r="F115" i="5"/>
  <c r="F125" i="5"/>
  <c r="AP83" i="5"/>
  <c r="AP112" i="5"/>
  <c r="AP113" i="5" s="1"/>
  <c r="Z112" i="5"/>
  <c r="Z113" i="5" s="1"/>
  <c r="Z83" i="5"/>
  <c r="J83" i="5"/>
  <c r="J112" i="5"/>
  <c r="J113" i="5" s="1"/>
  <c r="AM112" i="5"/>
  <c r="AM113" i="5" s="1"/>
  <c r="AM83" i="5"/>
  <c r="G112" i="5"/>
  <c r="G113" i="5" s="1"/>
  <c r="G83" i="5"/>
  <c r="Q112" i="5"/>
  <c r="Q113" i="5" s="1"/>
  <c r="Q83" i="5"/>
  <c r="AJ112" i="5"/>
  <c r="AJ113" i="5" s="1"/>
  <c r="AJ83" i="5"/>
  <c r="T112" i="5"/>
  <c r="T113" i="5" s="1"/>
  <c r="T83" i="5"/>
  <c r="AE112" i="5"/>
  <c r="AE113" i="5" s="1"/>
  <c r="AE83" i="5"/>
  <c r="S112" i="5"/>
  <c r="S113" i="5" s="1"/>
  <c r="S83" i="5"/>
  <c r="AS112" i="5"/>
  <c r="AS113" i="5" s="1"/>
  <c r="AS83" i="5"/>
  <c r="M112" i="5"/>
  <c r="M83" i="5"/>
  <c r="AL83" i="5"/>
  <c r="AL112" i="5"/>
  <c r="V83" i="5"/>
  <c r="V112" i="5"/>
  <c r="V113" i="5" s="1"/>
  <c r="AO112" i="5"/>
  <c r="AO113" i="5" s="1"/>
  <c r="AO83" i="5"/>
  <c r="I112" i="5"/>
  <c r="I113" i="5" s="1"/>
  <c r="I83" i="5"/>
  <c r="AQ112" i="5"/>
  <c r="AQ113" i="5" s="1"/>
  <c r="AQ83" i="5"/>
  <c r="K112" i="5"/>
  <c r="K113" i="5" s="1"/>
  <c r="K83" i="5"/>
  <c r="AT66" i="5" l="1"/>
  <c r="AT67" i="5" s="1"/>
  <c r="J86" i="5"/>
  <c r="J109" i="5"/>
  <c r="J110" i="5" s="1"/>
  <c r="AP109" i="5"/>
  <c r="AP110" i="5" s="1"/>
  <c r="AP86" i="5"/>
  <c r="AA109" i="5"/>
  <c r="AA110" i="5" s="1"/>
  <c r="AA86" i="5"/>
  <c r="Y109" i="5"/>
  <c r="Y110" i="5" s="1"/>
  <c r="Y86" i="5"/>
  <c r="N109" i="5"/>
  <c r="N110" i="5" s="1"/>
  <c r="N86" i="5"/>
  <c r="AT109" i="5"/>
  <c r="AT86" i="5"/>
  <c r="AK109" i="5"/>
  <c r="AK110" i="5" s="1"/>
  <c r="AK86" i="5"/>
  <c r="H71" i="5"/>
  <c r="I61" i="5"/>
  <c r="AB109" i="5"/>
  <c r="AB110" i="5" s="1"/>
  <c r="AB86" i="5"/>
  <c r="AG109" i="5"/>
  <c r="AG110" i="5" s="1"/>
  <c r="AG86" i="5"/>
  <c r="R113" i="5"/>
  <c r="E38" i="5" s="1"/>
  <c r="E37" i="5"/>
  <c r="H113" i="5"/>
  <c r="C38" i="5" s="1"/>
  <c r="C37" i="5"/>
  <c r="AQ109" i="5"/>
  <c r="AQ86" i="5"/>
  <c r="AO109" i="5"/>
  <c r="AO110" i="5" s="1"/>
  <c r="AO86" i="5"/>
  <c r="V109" i="5"/>
  <c r="V110" i="5" s="1"/>
  <c r="V86" i="5"/>
  <c r="M109" i="5"/>
  <c r="M110" i="5" s="1"/>
  <c r="M86" i="5"/>
  <c r="S109" i="5"/>
  <c r="S110" i="5" s="1"/>
  <c r="S86" i="5"/>
  <c r="T109" i="5"/>
  <c r="T110" i="5" s="1"/>
  <c r="T86" i="5"/>
  <c r="Q109" i="5"/>
  <c r="Q110" i="5" s="1"/>
  <c r="Q86" i="5"/>
  <c r="AM109" i="5"/>
  <c r="AM110" i="5" s="1"/>
  <c r="AM86" i="5"/>
  <c r="Z86" i="5"/>
  <c r="Z109" i="5"/>
  <c r="Z110" i="5" s="1"/>
  <c r="AB113" i="5"/>
  <c r="G38" i="5" s="1"/>
  <c r="G37" i="5"/>
  <c r="AG113" i="5"/>
  <c r="H38" i="5" s="1"/>
  <c r="H37" i="5"/>
  <c r="AH109" i="5"/>
  <c r="AH110" i="5" s="1"/>
  <c r="AH86" i="5"/>
  <c r="X109" i="5"/>
  <c r="X110" i="5" s="1"/>
  <c r="X86" i="5"/>
  <c r="AF109" i="5"/>
  <c r="AF110" i="5" s="1"/>
  <c r="AF86" i="5"/>
  <c r="AN109" i="5"/>
  <c r="AN110" i="5" s="1"/>
  <c r="AN86" i="5"/>
  <c r="AL113" i="5"/>
  <c r="I38" i="5" s="1"/>
  <c r="I37" i="5"/>
  <c r="M113" i="5"/>
  <c r="D38" i="5" s="1"/>
  <c r="D37" i="5"/>
  <c r="O109" i="5"/>
  <c r="O110" i="5" s="1"/>
  <c r="O86" i="5"/>
  <c r="W109" i="5"/>
  <c r="W110" i="5" s="1"/>
  <c r="W86" i="5"/>
  <c r="AD86" i="5"/>
  <c r="AD109" i="5"/>
  <c r="AD110" i="5" s="1"/>
  <c r="AI109" i="5"/>
  <c r="AI110" i="5" s="1"/>
  <c r="AI86" i="5"/>
  <c r="L109" i="5"/>
  <c r="L110" i="5" s="1"/>
  <c r="L86" i="5"/>
  <c r="AR109" i="5"/>
  <c r="AR86" i="5"/>
  <c r="K109" i="5"/>
  <c r="K110" i="5" s="1"/>
  <c r="K86" i="5"/>
  <c r="I109" i="5"/>
  <c r="I110" i="5" s="1"/>
  <c r="I86" i="5"/>
  <c r="AL109" i="5"/>
  <c r="AL110" i="5" s="1"/>
  <c r="AL86" i="5"/>
  <c r="AS109" i="5"/>
  <c r="AS86" i="5"/>
  <c r="AE109" i="5"/>
  <c r="AE110" i="5" s="1"/>
  <c r="AE86" i="5"/>
  <c r="AJ109" i="5"/>
  <c r="AJ110" i="5" s="1"/>
  <c r="AJ86" i="5"/>
  <c r="G109" i="5"/>
  <c r="G110" i="5" s="1"/>
  <c r="G86" i="5"/>
  <c r="AQ64" i="5"/>
  <c r="AQ70" i="5" s="1"/>
  <c r="AQ88" i="5" s="1"/>
  <c r="AQ92" i="5" s="1"/>
  <c r="W113" i="5"/>
  <c r="F38" i="5" s="1"/>
  <c r="F37" i="5"/>
  <c r="R109" i="5"/>
  <c r="R110" i="5" s="1"/>
  <c r="R86" i="5"/>
  <c r="U109" i="5"/>
  <c r="U110" i="5" s="1"/>
  <c r="U86" i="5"/>
  <c r="AC109" i="5"/>
  <c r="AC110" i="5" s="1"/>
  <c r="AC86" i="5"/>
  <c r="P109" i="5"/>
  <c r="P110" i="5" s="1"/>
  <c r="P86" i="5"/>
  <c r="H109" i="5"/>
  <c r="H110" i="5" s="1"/>
  <c r="H86" i="5"/>
  <c r="AQ65" i="5" l="1"/>
  <c r="AQ110" i="5"/>
  <c r="P87" i="5"/>
  <c r="P89" i="5" s="1"/>
  <c r="U87" i="5"/>
  <c r="U89" i="5" s="1"/>
  <c r="G87" i="5"/>
  <c r="G89" i="5" s="1"/>
  <c r="AE87" i="5"/>
  <c r="AE89" i="5" s="1"/>
  <c r="K87" i="5"/>
  <c r="K89" i="5" s="1"/>
  <c r="L87" i="5"/>
  <c r="L89" i="5" s="1"/>
  <c r="O87" i="5"/>
  <c r="O89" i="5" s="1"/>
  <c r="AF87" i="5"/>
  <c r="AF89" i="5" s="1"/>
  <c r="AH87" i="5"/>
  <c r="AH89" i="5" s="1"/>
  <c r="AM87" i="5"/>
  <c r="AM89" i="5" s="1"/>
  <c r="M87" i="5"/>
  <c r="M89" i="5" s="1"/>
  <c r="AG87" i="5"/>
  <c r="AG89" i="5" s="1"/>
  <c r="AT87" i="5"/>
  <c r="AD87" i="5"/>
  <c r="AD89" i="5" s="1"/>
  <c r="AR64" i="5"/>
  <c r="AR70" i="5" s="1"/>
  <c r="AR88" i="5" s="1"/>
  <c r="AR92" i="5" s="1"/>
  <c r="Z87" i="5"/>
  <c r="Z89" i="5" s="1"/>
  <c r="J87" i="5"/>
  <c r="J89" i="5" s="1"/>
  <c r="AL87" i="5"/>
  <c r="AL89" i="5" s="1"/>
  <c r="T87" i="5"/>
  <c r="T89" i="5" s="1"/>
  <c r="AO87" i="5"/>
  <c r="AO89" i="5" s="1"/>
  <c r="J61" i="5"/>
  <c r="I71" i="5"/>
  <c r="Y87" i="5"/>
  <c r="Y89" i="5" s="1"/>
  <c r="AP87" i="5"/>
  <c r="AP89" i="5" s="1"/>
  <c r="H87" i="5"/>
  <c r="H89" i="5" s="1"/>
  <c r="AC87" i="5"/>
  <c r="AC89" i="5" s="1"/>
  <c r="R87" i="5"/>
  <c r="R89" i="5" s="1"/>
  <c r="AJ87" i="5"/>
  <c r="AJ89" i="5" s="1"/>
  <c r="AS87" i="5"/>
  <c r="I87" i="5"/>
  <c r="I89" i="5" s="1"/>
  <c r="AR87" i="5"/>
  <c r="AI87" i="5"/>
  <c r="AI89" i="5" s="1"/>
  <c r="W87" i="5"/>
  <c r="W89" i="5" s="1"/>
  <c r="AN87" i="5"/>
  <c r="AN89" i="5" s="1"/>
  <c r="X87" i="5"/>
  <c r="X89" i="5" s="1"/>
  <c r="Q87" i="5"/>
  <c r="Q89" i="5" s="1"/>
  <c r="S87" i="5"/>
  <c r="S89" i="5" s="1"/>
  <c r="V87" i="5"/>
  <c r="V89" i="5" s="1"/>
  <c r="AQ87" i="5"/>
  <c r="AQ89" i="5" s="1"/>
  <c r="AB87" i="5"/>
  <c r="AB89" i="5" s="1"/>
  <c r="AK87" i="5"/>
  <c r="AK89" i="5" s="1"/>
  <c r="N87" i="5"/>
  <c r="N89" i="5" s="1"/>
  <c r="AA87" i="5"/>
  <c r="AA89" i="5" s="1"/>
  <c r="AR89" i="5" l="1"/>
  <c r="AR90" i="5" s="1"/>
  <c r="AR91" i="5" s="1"/>
  <c r="AR93" i="5" s="1"/>
  <c r="AR106" i="5" s="1"/>
  <c r="AR118" i="5" s="1"/>
  <c r="AR65" i="5"/>
  <c r="AR110" i="5"/>
  <c r="N90" i="5"/>
  <c r="N91" i="5" s="1"/>
  <c r="N93" i="5" s="1"/>
  <c r="AJ90" i="5"/>
  <c r="AJ91" i="5" s="1"/>
  <c r="AJ93" i="5" s="1"/>
  <c r="H90" i="5"/>
  <c r="H91" i="5" s="1"/>
  <c r="H93" i="5" s="1"/>
  <c r="Z90" i="5"/>
  <c r="Z91" i="5" s="1"/>
  <c r="Z93" i="5" s="1"/>
  <c r="AM90" i="5"/>
  <c r="AM91" i="5" s="1"/>
  <c r="AM93" i="5" s="1"/>
  <c r="AM106" i="5" s="1"/>
  <c r="AM118" i="5" s="1"/>
  <c r="U90" i="5"/>
  <c r="U91" i="5" s="1"/>
  <c r="U93" i="5" s="1"/>
  <c r="AB90" i="5"/>
  <c r="AB91" i="5" s="1"/>
  <c r="AB93" i="5" s="1"/>
  <c r="I90" i="5"/>
  <c r="I91" i="5" s="1"/>
  <c r="I93" i="5" s="1"/>
  <c r="L90" i="5"/>
  <c r="L91" i="5" s="1"/>
  <c r="L93" i="5" s="1"/>
  <c r="AI90" i="5"/>
  <c r="AI91" i="5" s="1"/>
  <c r="AI93" i="5" s="1"/>
  <c r="J90" i="5"/>
  <c r="J91" i="5" s="1"/>
  <c r="J93" i="5" s="1"/>
  <c r="AD90" i="5"/>
  <c r="AD91" i="5" s="1"/>
  <c r="AD93" i="5" s="1"/>
  <c r="AF90" i="5"/>
  <c r="AF91" i="5" s="1"/>
  <c r="AF93" i="5" s="1"/>
  <c r="Q90" i="5"/>
  <c r="Q91" i="5" s="1"/>
  <c r="Q93" i="5" s="1"/>
  <c r="T90" i="5"/>
  <c r="T91" i="5" s="1"/>
  <c r="T93" i="5" s="1"/>
  <c r="AK90" i="5"/>
  <c r="AK91" i="5" s="1"/>
  <c r="AK93" i="5" s="1"/>
  <c r="AK106" i="5" s="1"/>
  <c r="AK118" i="5" s="1"/>
  <c r="V90" i="5"/>
  <c r="V91" i="5" s="1"/>
  <c r="V93" i="5" s="1"/>
  <c r="R90" i="5"/>
  <c r="R91" i="5" s="1"/>
  <c r="R93" i="5" s="1"/>
  <c r="AP90" i="5"/>
  <c r="AP91" i="5" s="1"/>
  <c r="AP93" i="5" s="1"/>
  <c r="AP106" i="5" s="1"/>
  <c r="AP118" i="5" s="1"/>
  <c r="AG90" i="5"/>
  <c r="AG91" i="5" s="1"/>
  <c r="AG93" i="5" s="1"/>
  <c r="AE90" i="5"/>
  <c r="AE91" i="5" s="1"/>
  <c r="AE93" i="5" s="1"/>
  <c r="P90" i="5"/>
  <c r="P91" i="5" s="1"/>
  <c r="P93" i="5" s="1"/>
  <c r="AN90" i="5"/>
  <c r="AN91" i="5" s="1"/>
  <c r="AN93" i="5" s="1"/>
  <c r="AN106" i="5" s="1"/>
  <c r="AN118" i="5" s="1"/>
  <c r="AC90" i="5"/>
  <c r="AC91" i="5" s="1"/>
  <c r="AC93" i="5" s="1"/>
  <c r="K61" i="5"/>
  <c r="J71" i="5"/>
  <c r="AS64" i="5"/>
  <c r="AS70" i="5" s="1"/>
  <c r="AA90" i="5"/>
  <c r="AA91" i="5" s="1"/>
  <c r="AA93" i="5" s="1"/>
  <c r="AQ90" i="5"/>
  <c r="AQ91" i="5" s="1"/>
  <c r="AQ93" i="5" s="1"/>
  <c r="AQ106" i="5" s="1"/>
  <c r="AQ118" i="5" s="1"/>
  <c r="S90" i="5"/>
  <c r="S91" i="5" s="1"/>
  <c r="S93" i="5" s="1"/>
  <c r="X90" i="5"/>
  <c r="X91" i="5" s="1"/>
  <c r="X93" i="5" s="1"/>
  <c r="W90" i="5"/>
  <c r="W91" i="5" s="1"/>
  <c r="W93" i="5" s="1"/>
  <c r="Y90" i="5"/>
  <c r="Y91" i="5" s="1"/>
  <c r="Y93" i="5" s="1"/>
  <c r="AO90" i="5"/>
  <c r="AO91" i="5" s="1"/>
  <c r="AO93" i="5" s="1"/>
  <c r="AO106" i="5" s="1"/>
  <c r="AO118" i="5" s="1"/>
  <c r="AL90" i="5"/>
  <c r="AL91" i="5" s="1"/>
  <c r="AL93" i="5" s="1"/>
  <c r="AL106" i="5" s="1"/>
  <c r="AL118" i="5" s="1"/>
  <c r="M90" i="5"/>
  <c r="M91" i="5" s="1"/>
  <c r="M93" i="5" s="1"/>
  <c r="AH90" i="5"/>
  <c r="AH91" i="5" s="1"/>
  <c r="AH93" i="5" s="1"/>
  <c r="O90" i="5"/>
  <c r="O91" i="5" s="1"/>
  <c r="O93" i="5" s="1"/>
  <c r="K90" i="5"/>
  <c r="K91" i="5" s="1"/>
  <c r="K93" i="5" s="1"/>
  <c r="G90" i="5"/>
  <c r="G91" i="5" s="1"/>
  <c r="G93" i="5" s="1"/>
  <c r="AS65" i="5" l="1"/>
  <c r="AT64" i="5" s="1"/>
  <c r="AT70" i="5" s="1"/>
  <c r="M106" i="5"/>
  <c r="M118" i="5" s="1"/>
  <c r="M103" i="5"/>
  <c r="Y106" i="5"/>
  <c r="Y118" i="5" s="1"/>
  <c r="Y103" i="5"/>
  <c r="P106" i="5"/>
  <c r="P118" i="5" s="1"/>
  <c r="P103" i="5"/>
  <c r="O103" i="5"/>
  <c r="O106" i="5"/>
  <c r="O118" i="5" s="1"/>
  <c r="AC106" i="5"/>
  <c r="AC118" i="5" s="1"/>
  <c r="AC103" i="5"/>
  <c r="AD106" i="5"/>
  <c r="AD118" i="5" s="1"/>
  <c r="AD103" i="5"/>
  <c r="AB103" i="5"/>
  <c r="AB106" i="5"/>
  <c r="AB118" i="5" s="1"/>
  <c r="Z106" i="5"/>
  <c r="Z118" i="5" s="1"/>
  <c r="Z103" i="5"/>
  <c r="N106" i="5"/>
  <c r="N118" i="5" s="1"/>
  <c r="N103" i="5"/>
  <c r="G103" i="5"/>
  <c r="G106" i="5"/>
  <c r="AH106" i="5"/>
  <c r="AH118" i="5" s="1"/>
  <c r="AH103" i="5"/>
  <c r="AG106" i="5"/>
  <c r="AG118" i="5" s="1"/>
  <c r="AG103" i="5"/>
  <c r="U106" i="5"/>
  <c r="U118" i="5" s="1"/>
  <c r="U103" i="5"/>
  <c r="X103" i="5"/>
  <c r="X106" i="5"/>
  <c r="X118" i="5" s="1"/>
  <c r="R103" i="5"/>
  <c r="R106" i="5"/>
  <c r="R118" i="5" s="1"/>
  <c r="AF103" i="5"/>
  <c r="AF106" i="5"/>
  <c r="AF118" i="5" s="1"/>
  <c r="AI106" i="5"/>
  <c r="AI118" i="5" s="1"/>
  <c r="AI103" i="5"/>
  <c r="AJ106" i="5"/>
  <c r="AJ118" i="5" s="1"/>
  <c r="K106" i="5"/>
  <c r="K118" i="5" s="1"/>
  <c r="K103" i="5"/>
  <c r="W106" i="5"/>
  <c r="W118" i="5" s="1"/>
  <c r="W103" i="5"/>
  <c r="S106" i="5"/>
  <c r="S118" i="5" s="1"/>
  <c r="S103" i="5"/>
  <c r="AA103" i="5"/>
  <c r="AA106" i="5"/>
  <c r="AA118" i="5" s="1"/>
  <c r="AE106" i="5"/>
  <c r="AE118" i="5" s="1"/>
  <c r="AE103" i="5"/>
  <c r="T103" i="5"/>
  <c r="T106" i="5"/>
  <c r="T118" i="5" s="1"/>
  <c r="L103" i="5"/>
  <c r="L106" i="5"/>
  <c r="L118" i="5" s="1"/>
  <c r="I106" i="5"/>
  <c r="I118" i="5" s="1"/>
  <c r="I103" i="5"/>
  <c r="AS88" i="5"/>
  <c r="AS110" i="5"/>
  <c r="K71" i="5"/>
  <c r="L61" i="5"/>
  <c r="V103" i="5"/>
  <c r="V106" i="5"/>
  <c r="V118" i="5" s="1"/>
  <c r="J103" i="5"/>
  <c r="J106" i="5"/>
  <c r="J118" i="5" s="1"/>
  <c r="H106" i="5"/>
  <c r="H118" i="5" s="1"/>
  <c r="H103" i="5"/>
  <c r="Q106" i="5"/>
  <c r="Q118" i="5" s="1"/>
  <c r="Q103" i="5"/>
  <c r="L125" i="5" l="1"/>
  <c r="L115" i="5"/>
  <c r="R125" i="5"/>
  <c r="R115" i="5"/>
  <c r="AB125" i="5"/>
  <c r="AB115" i="5"/>
  <c r="H125" i="5"/>
  <c r="H115" i="5"/>
  <c r="W125" i="5"/>
  <c r="W115" i="5"/>
  <c r="AG125" i="5"/>
  <c r="AG115" i="5"/>
  <c r="G118" i="5"/>
  <c r="Z125" i="5"/>
  <c r="Z115" i="5"/>
  <c r="AD125" i="5"/>
  <c r="AD115" i="5"/>
  <c r="Y125" i="5"/>
  <c r="Y115" i="5"/>
  <c r="V125" i="5"/>
  <c r="V115" i="5"/>
  <c r="AS92" i="5"/>
  <c r="AS89" i="5"/>
  <c r="AT65" i="5"/>
  <c r="T125" i="5"/>
  <c r="T115" i="5"/>
  <c r="AA125" i="5"/>
  <c r="AA115" i="5"/>
  <c r="AF125" i="5"/>
  <c r="AF115" i="5"/>
  <c r="X125" i="5"/>
  <c r="X115" i="5"/>
  <c r="G125" i="5"/>
  <c r="G115" i="5"/>
  <c r="O125" i="5"/>
  <c r="O115" i="5"/>
  <c r="J125" i="5"/>
  <c r="J115" i="5"/>
  <c r="AT88" i="5"/>
  <c r="AT110" i="5"/>
  <c r="Q125" i="5"/>
  <c r="Q115" i="5"/>
  <c r="L71" i="5"/>
  <c r="M61" i="5"/>
  <c r="I125" i="5"/>
  <c r="I115" i="5"/>
  <c r="AE125" i="5"/>
  <c r="AE115" i="5"/>
  <c r="S125" i="5"/>
  <c r="S115" i="5"/>
  <c r="K125" i="5"/>
  <c r="K115" i="5"/>
  <c r="AI125" i="5"/>
  <c r="AI115" i="5"/>
  <c r="U125" i="5"/>
  <c r="U115" i="5"/>
  <c r="AH115" i="5"/>
  <c r="AH125" i="5"/>
  <c r="N125" i="5"/>
  <c r="N115" i="5"/>
  <c r="AC125" i="5"/>
  <c r="AC115" i="5"/>
  <c r="P125" i="5"/>
  <c r="P115" i="5"/>
  <c r="M125" i="5"/>
  <c r="M115" i="5"/>
  <c r="AS90" i="5" l="1"/>
  <c r="AS91" i="5" s="1"/>
  <c r="AS93" i="5" s="1"/>
  <c r="AS106" i="5" s="1"/>
  <c r="AT92" i="5"/>
  <c r="AT89" i="5"/>
  <c r="M71" i="5"/>
  <c r="N61" i="5"/>
  <c r="O61" i="5" l="1"/>
  <c r="N71" i="5"/>
  <c r="AT90" i="5"/>
  <c r="AT91" i="5" s="1"/>
  <c r="AT93" i="5" s="1"/>
  <c r="AS118" i="5"/>
  <c r="P61" i="5" l="1"/>
  <c r="O71" i="5"/>
  <c r="P71" i="5" l="1"/>
  <c r="Q61" i="5"/>
  <c r="Q71" i="5" l="1"/>
  <c r="R61" i="5"/>
  <c r="R71" i="5" l="1"/>
  <c r="S61" i="5"/>
  <c r="S71" i="5" l="1"/>
  <c r="T61" i="5"/>
  <c r="T71" i="5" l="1"/>
  <c r="U61" i="5"/>
  <c r="V61" i="5" l="1"/>
  <c r="U71" i="5"/>
  <c r="W61" i="5" l="1"/>
  <c r="V71" i="5"/>
  <c r="W71" i="5" l="1"/>
  <c r="X61" i="5"/>
  <c r="X71" i="5" l="1"/>
  <c r="Y61" i="5"/>
  <c r="Z61" i="5" l="1"/>
  <c r="Y71" i="5"/>
  <c r="AA61" i="5" l="1"/>
  <c r="Z71" i="5"/>
  <c r="AA71" i="5" l="1"/>
  <c r="AB61" i="5"/>
  <c r="AB71" i="5" l="1"/>
  <c r="AC61" i="5"/>
  <c r="AC71" i="5" l="1"/>
  <c r="AD61" i="5"/>
  <c r="AE61" i="5" l="1"/>
  <c r="AD71" i="5"/>
  <c r="AE71" i="5" l="1"/>
  <c r="AF61" i="5"/>
  <c r="AF71" i="5" l="1"/>
  <c r="AG61" i="5"/>
  <c r="AG71" i="5" l="1"/>
  <c r="AH61" i="5"/>
  <c r="AH71" i="5" l="1"/>
  <c r="AI61" i="5"/>
  <c r="AJ61" i="5" l="1"/>
  <c r="AI71" i="5"/>
  <c r="AJ71" i="5" l="1"/>
  <c r="AJ98" i="5" s="1"/>
  <c r="AJ99" i="5" s="1"/>
  <c r="AJ103" i="5" s="1"/>
  <c r="AK61" i="5"/>
  <c r="AL61" i="5" l="1"/>
  <c r="AK71" i="5"/>
  <c r="AJ125" i="5"/>
  <c r="AJ115" i="5"/>
  <c r="AJ116" i="5" s="1"/>
  <c r="C32" i="5" s="1"/>
  <c r="AJ104" i="5"/>
  <c r="C31" i="5" s="1"/>
  <c r="AM61" i="5" l="1"/>
  <c r="AL71" i="5"/>
  <c r="AM71" i="5" l="1"/>
  <c r="AN61" i="5"/>
  <c r="AN71" i="5" l="1"/>
  <c r="AO61" i="5"/>
  <c r="AP61" i="5" l="1"/>
  <c r="AO71" i="5"/>
  <c r="AQ61" i="5" l="1"/>
  <c r="AP71" i="5"/>
  <c r="AQ71" i="5" l="1"/>
  <c r="AR61" i="5"/>
  <c r="AR71" i="5" l="1"/>
  <c r="AS61" i="5"/>
  <c r="AS71" i="5" l="1"/>
  <c r="AT61" i="5"/>
  <c r="AT71" i="5" s="1"/>
  <c r="AT98" i="5" s="1"/>
  <c r="AT99" i="5" s="1"/>
  <c r="AT106" i="5" s="1"/>
  <c r="AT118" i="5" l="1"/>
  <c r="AT119" i="5" s="1"/>
  <c r="AT107" i="5"/>
  <c r="J157" i="3" l="1"/>
  <c r="J240" i="3" l="1"/>
  <c r="J216" i="3"/>
  <c r="K157" i="3"/>
  <c r="K240" i="3" l="1"/>
  <c r="L157" i="3"/>
  <c r="K216" i="3"/>
  <c r="H58" i="3"/>
  <c r="L240" i="3" l="1"/>
  <c r="M157" i="3"/>
  <c r="M240" i="3" s="1"/>
  <c r="L216" i="3"/>
  <c r="F168" i="3"/>
  <c r="F129" i="3"/>
  <c r="N157" i="3" l="1"/>
  <c r="M216" i="3"/>
  <c r="N240" i="3" l="1"/>
  <c r="O157" i="3"/>
  <c r="O240" i="3" s="1"/>
  <c r="N216" i="3"/>
  <c r="P157" i="3" l="1"/>
  <c r="P240" i="3" s="1"/>
  <c r="O216" i="3"/>
  <c r="Q157" i="3" l="1"/>
  <c r="Q240" i="3" s="1"/>
  <c r="P216" i="3"/>
  <c r="R157" i="3" l="1"/>
  <c r="R240" i="3" s="1"/>
  <c r="Q216" i="3"/>
  <c r="S157" i="3" l="1"/>
  <c r="S240" i="3" s="1"/>
  <c r="R216" i="3"/>
  <c r="T157" i="3" l="1"/>
  <c r="T240" i="3" s="1"/>
  <c r="S216" i="3"/>
  <c r="G211" i="3"/>
  <c r="H211" i="3"/>
  <c r="I211" i="3"/>
  <c r="F211" i="3"/>
  <c r="H160" i="3"/>
  <c r="I160" i="3"/>
  <c r="G160" i="3"/>
  <c r="F160" i="3"/>
  <c r="U157" i="3" l="1"/>
  <c r="U240" i="3" s="1"/>
  <c r="T216" i="3"/>
  <c r="G250" i="3"/>
  <c r="H250" i="3"/>
  <c r="I250" i="3"/>
  <c r="J250" i="3"/>
  <c r="K250" i="3"/>
  <c r="L250" i="3"/>
  <c r="M250" i="3"/>
  <c r="N250" i="3"/>
  <c r="O250" i="3"/>
  <c r="P250" i="3"/>
  <c r="Q250" i="3"/>
  <c r="R250" i="3"/>
  <c r="S250" i="3"/>
  <c r="T250" i="3"/>
  <c r="U250" i="3"/>
  <c r="V250" i="3"/>
  <c r="W250" i="3"/>
  <c r="X250" i="3"/>
  <c r="Y250" i="3"/>
  <c r="Z250" i="3"/>
  <c r="AA250" i="3"/>
  <c r="AB250" i="3"/>
  <c r="AC250" i="3"/>
  <c r="AD250" i="3"/>
  <c r="AE250" i="3"/>
  <c r="AF250" i="3"/>
  <c r="AG250" i="3"/>
  <c r="AH250" i="3"/>
  <c r="AI250" i="3"/>
  <c r="AJ250" i="3"/>
  <c r="AK250" i="3"/>
  <c r="AL250" i="3"/>
  <c r="F250" i="3"/>
  <c r="F76" i="3"/>
  <c r="F77" i="3" s="1"/>
  <c r="G266" i="3"/>
  <c r="H266" i="3"/>
  <c r="I266" i="3"/>
  <c r="J266" i="3"/>
  <c r="K266" i="3"/>
  <c r="L266" i="3"/>
  <c r="M266" i="3"/>
  <c r="N266" i="3"/>
  <c r="O266" i="3"/>
  <c r="P266" i="3"/>
  <c r="Q266" i="3"/>
  <c r="R266" i="3"/>
  <c r="S266" i="3"/>
  <c r="T266" i="3"/>
  <c r="U266" i="3"/>
  <c r="V266" i="3"/>
  <c r="W266" i="3"/>
  <c r="X266" i="3"/>
  <c r="Y266" i="3"/>
  <c r="Z266" i="3"/>
  <c r="AA266" i="3"/>
  <c r="AB266" i="3"/>
  <c r="AC266" i="3"/>
  <c r="AD266" i="3"/>
  <c r="AE266" i="3"/>
  <c r="AF266" i="3"/>
  <c r="AG266" i="3"/>
  <c r="AH266" i="3"/>
  <c r="AI266" i="3"/>
  <c r="AJ266" i="3"/>
  <c r="AK266" i="3"/>
  <c r="AL266" i="3"/>
  <c r="G267" i="3"/>
  <c r="H267" i="3"/>
  <c r="I267" i="3"/>
  <c r="J267" i="3"/>
  <c r="K267" i="3"/>
  <c r="L267" i="3"/>
  <c r="M267" i="3"/>
  <c r="N267" i="3"/>
  <c r="O267" i="3"/>
  <c r="P267" i="3"/>
  <c r="Q267" i="3"/>
  <c r="R267" i="3"/>
  <c r="S267" i="3"/>
  <c r="T267" i="3"/>
  <c r="U267" i="3"/>
  <c r="V267" i="3"/>
  <c r="W267" i="3"/>
  <c r="X267" i="3"/>
  <c r="Y267" i="3"/>
  <c r="Z267" i="3"/>
  <c r="AA267" i="3"/>
  <c r="AB267" i="3"/>
  <c r="AC267" i="3"/>
  <c r="AD267" i="3"/>
  <c r="AE267" i="3"/>
  <c r="AF267" i="3"/>
  <c r="AG267" i="3"/>
  <c r="AH267" i="3"/>
  <c r="AI267" i="3"/>
  <c r="AJ267" i="3"/>
  <c r="AK267" i="3"/>
  <c r="AL267" i="3"/>
  <c r="F267" i="3"/>
  <c r="F266" i="3"/>
  <c r="V157" i="3" l="1"/>
  <c r="V240" i="3" s="1"/>
  <c r="U216" i="3"/>
  <c r="J105" i="3"/>
  <c r="J109" i="3" s="1"/>
  <c r="K105" i="3"/>
  <c r="K109" i="3" s="1"/>
  <c r="L105" i="3"/>
  <c r="L109" i="3" s="1"/>
  <c r="M105" i="3"/>
  <c r="M109" i="3" s="1"/>
  <c r="N105" i="3"/>
  <c r="N109" i="3" s="1"/>
  <c r="O105" i="3"/>
  <c r="O109" i="3" s="1"/>
  <c r="P105" i="3"/>
  <c r="P109" i="3" s="1"/>
  <c r="Q105" i="3"/>
  <c r="Q109" i="3" s="1"/>
  <c r="R105" i="3"/>
  <c r="R109" i="3" s="1"/>
  <c r="S105" i="3"/>
  <c r="S109" i="3" s="1"/>
  <c r="T105" i="3"/>
  <c r="T109" i="3" s="1"/>
  <c r="U105" i="3"/>
  <c r="U109" i="3" s="1"/>
  <c r="V105" i="3"/>
  <c r="V109" i="3" s="1"/>
  <c r="W105" i="3"/>
  <c r="W109" i="3" s="1"/>
  <c r="X105" i="3"/>
  <c r="X109" i="3" s="1"/>
  <c r="Y105" i="3"/>
  <c r="Y109" i="3" s="1"/>
  <c r="Z105" i="3"/>
  <c r="Z109" i="3" s="1"/>
  <c r="AA105" i="3"/>
  <c r="AA109" i="3" s="1"/>
  <c r="AB105" i="3"/>
  <c r="AB109" i="3" s="1"/>
  <c r="AC105" i="3"/>
  <c r="AC109" i="3" s="1"/>
  <c r="AD105" i="3"/>
  <c r="AD109" i="3" s="1"/>
  <c r="AE105" i="3"/>
  <c r="AE109" i="3" s="1"/>
  <c r="AF105" i="3"/>
  <c r="AF109" i="3" s="1"/>
  <c r="AG105" i="3"/>
  <c r="AG109" i="3" s="1"/>
  <c r="AH105" i="3"/>
  <c r="AH109" i="3" s="1"/>
  <c r="AI105" i="3"/>
  <c r="AI109" i="3" s="1"/>
  <c r="AJ105" i="3"/>
  <c r="AJ109" i="3" s="1"/>
  <c r="AK105" i="3"/>
  <c r="AK109" i="3" s="1"/>
  <c r="AL105" i="3"/>
  <c r="AL109" i="3" s="1"/>
  <c r="AM105" i="3"/>
  <c r="AM109" i="3" s="1"/>
  <c r="G106" i="3"/>
  <c r="G111" i="3" s="1"/>
  <c r="H106" i="3"/>
  <c r="H111" i="3" s="1"/>
  <c r="I106" i="3"/>
  <c r="I111" i="3" s="1"/>
  <c r="F106" i="3"/>
  <c r="E29" i="3"/>
  <c r="AM106" i="3"/>
  <c r="AM111" i="3" s="1"/>
  <c r="Y106" i="3"/>
  <c r="Y111" i="3" s="1"/>
  <c r="O106" i="3"/>
  <c r="O111" i="3" s="1"/>
  <c r="N106" i="3"/>
  <c r="N111" i="3" s="1"/>
  <c r="I105" i="3"/>
  <c r="I109" i="3" s="1"/>
  <c r="F105" i="3"/>
  <c r="F109" i="3" s="1"/>
  <c r="E26" i="3"/>
  <c r="E37" i="3" s="1"/>
  <c r="E43" i="3" l="1"/>
  <c r="W157" i="3"/>
  <c r="W240" i="3" s="1"/>
  <c r="V216" i="3"/>
  <c r="F111" i="3"/>
  <c r="P160" i="3"/>
  <c r="Y160" i="3"/>
  <c r="AF160" i="3"/>
  <c r="AK160" i="3"/>
  <c r="U160" i="3"/>
  <c r="Q160" i="3"/>
  <c r="AB160" i="3"/>
  <c r="AG160" i="3"/>
  <c r="AM160" i="3"/>
  <c r="L160" i="3"/>
  <c r="T160" i="3"/>
  <c r="AC160" i="3"/>
  <c r="AI160" i="3"/>
  <c r="M160" i="3"/>
  <c r="X160" i="3"/>
  <c r="AE160" i="3"/>
  <c r="AJ160" i="3"/>
  <c r="L106" i="3"/>
  <c r="L111" i="3" s="1"/>
  <c r="AB106" i="3"/>
  <c r="AB111" i="3" s="1"/>
  <c r="AJ106" i="3"/>
  <c r="AJ111" i="3" s="1"/>
  <c r="T106" i="3"/>
  <c r="T111" i="3" s="1"/>
  <c r="AG106" i="3"/>
  <c r="AG111" i="3" s="1"/>
  <c r="Q106" i="3"/>
  <c r="Q111" i="3" s="1"/>
  <c r="AF106" i="3"/>
  <c r="AF111" i="3" s="1"/>
  <c r="X106" i="3"/>
  <c r="X111" i="3" s="1"/>
  <c r="P106" i="3"/>
  <c r="P111" i="3" s="1"/>
  <c r="AK106" i="3"/>
  <c r="AK111" i="3" s="1"/>
  <c r="AC106" i="3"/>
  <c r="AC111" i="3" s="1"/>
  <c r="U106" i="3"/>
  <c r="U111" i="3" s="1"/>
  <c r="M106" i="3"/>
  <c r="M111" i="3" s="1"/>
  <c r="G105" i="3"/>
  <c r="G109" i="3" s="1"/>
  <c r="K106" i="3"/>
  <c r="K111" i="3" s="1"/>
  <c r="S106" i="3"/>
  <c r="S111" i="3" s="1"/>
  <c r="W106" i="3"/>
  <c r="W111" i="3" s="1"/>
  <c r="AA106" i="3"/>
  <c r="AA111" i="3" s="1"/>
  <c r="AE106" i="3"/>
  <c r="AE111" i="3" s="1"/>
  <c r="AI106" i="3"/>
  <c r="AI111" i="3" s="1"/>
  <c r="J106" i="3"/>
  <c r="J111" i="3" s="1"/>
  <c r="R106" i="3"/>
  <c r="R111" i="3" s="1"/>
  <c r="V106" i="3"/>
  <c r="V111" i="3" s="1"/>
  <c r="Z106" i="3"/>
  <c r="Z111" i="3" s="1"/>
  <c r="AD106" i="3"/>
  <c r="AD111" i="3" s="1"/>
  <c r="AH106" i="3"/>
  <c r="AH111" i="3" s="1"/>
  <c r="AL106" i="3"/>
  <c r="AL111" i="3" s="1"/>
  <c r="H105" i="3"/>
  <c r="H109" i="3" s="1"/>
  <c r="E54" i="3" l="1"/>
  <c r="E139" i="3" s="1"/>
  <c r="E136" i="3"/>
  <c r="X157" i="3"/>
  <c r="X240" i="3" s="1"/>
  <c r="W216" i="3"/>
  <c r="C6" i="7"/>
  <c r="C14" i="7"/>
  <c r="AH160" i="3"/>
  <c r="S160" i="3"/>
  <c r="J160" i="3"/>
  <c r="AL160" i="3"/>
  <c r="R160" i="3"/>
  <c r="O160" i="3"/>
  <c r="AD160" i="3"/>
  <c r="N160" i="3"/>
  <c r="AA160" i="3"/>
  <c r="K160" i="3"/>
  <c r="Z160" i="3"/>
  <c r="W160" i="3"/>
  <c r="V160" i="3"/>
  <c r="Y157" i="3" l="1"/>
  <c r="Y240" i="3" s="1"/>
  <c r="X216" i="3"/>
  <c r="Z157" i="3" l="1"/>
  <c r="Z240" i="3" s="1"/>
  <c r="Y216" i="3"/>
  <c r="AA157" i="3" l="1"/>
  <c r="AA240" i="3" s="1"/>
  <c r="Z216" i="3"/>
  <c r="AB157" i="3" l="1"/>
  <c r="AB240" i="3" s="1"/>
  <c r="AA216" i="3"/>
  <c r="AG211" i="3"/>
  <c r="AF211" i="3"/>
  <c r="AC211" i="3"/>
  <c r="AD211" i="3"/>
  <c r="R211" i="3"/>
  <c r="AK211" i="3"/>
  <c r="T211" i="3"/>
  <c r="N211" i="3"/>
  <c r="AL211" i="3"/>
  <c r="Y211" i="3"/>
  <c r="X211" i="3"/>
  <c r="Z211" i="3"/>
  <c r="AM211" i="3"/>
  <c r="W211" i="3"/>
  <c r="J211" i="3"/>
  <c r="Q211" i="3"/>
  <c r="AI211" i="3"/>
  <c r="AH211" i="3"/>
  <c r="M211" i="3"/>
  <c r="AE211" i="3"/>
  <c r="L211" i="3"/>
  <c r="AB211" i="3"/>
  <c r="V211" i="3"/>
  <c r="S211" i="3"/>
  <c r="K211" i="3"/>
  <c r="O211" i="3"/>
  <c r="AA211" i="3"/>
  <c r="P211" i="3"/>
  <c r="AJ211" i="3"/>
  <c r="U211" i="3"/>
  <c r="AC157" i="3" l="1"/>
  <c r="AC240" i="3" s="1"/>
  <c r="AB216" i="3"/>
  <c r="C15" i="7"/>
  <c r="E211" i="3"/>
  <c r="AD157" i="3" l="1"/>
  <c r="AD240" i="3" s="1"/>
  <c r="AC216" i="3"/>
  <c r="AE157" i="3" l="1"/>
  <c r="AE240" i="3" s="1"/>
  <c r="AD216" i="3"/>
  <c r="AF157" i="3" l="1"/>
  <c r="AF240" i="3" s="1"/>
  <c r="AE216" i="3"/>
  <c r="AG157" i="3" l="1"/>
  <c r="AG240" i="3" s="1"/>
  <c r="AF216" i="3"/>
  <c r="AH157" i="3" l="1"/>
  <c r="AH240" i="3" s="1"/>
  <c r="AG216" i="3"/>
  <c r="AI157" i="3" l="1"/>
  <c r="AI240" i="3" s="1"/>
  <c r="AH216" i="3"/>
  <c r="AJ157" i="3" l="1"/>
  <c r="AJ240" i="3" s="1"/>
  <c r="AI216" i="3"/>
  <c r="AK157" i="3" l="1"/>
  <c r="AK240" i="3" s="1"/>
  <c r="AJ216" i="3"/>
  <c r="AL157" i="3" l="1"/>
  <c r="AL240" i="3" s="1"/>
  <c r="AK216" i="3"/>
  <c r="AM157" i="3" l="1"/>
  <c r="E4" i="9" s="1"/>
  <c r="AL216" i="3"/>
  <c r="AM240" i="3" l="1"/>
  <c r="AM216" i="3"/>
  <c r="E216" i="3" s="1"/>
  <c r="F15" i="7"/>
  <c r="AM243" i="3" l="1"/>
  <c r="F4" i="9" s="1"/>
  <c r="E235" i="3" l="1"/>
  <c r="E243" i="3" s="1"/>
  <c r="AM250" i="3"/>
  <c r="E250" i="3" s="1"/>
  <c r="AM267" i="3"/>
  <c r="E267" i="3" s="1"/>
  <c r="C264" i="3" l="1"/>
  <c r="C249" i="3" l="1"/>
  <c r="E111" i="3" l="1"/>
  <c r="E106" i="3"/>
  <c r="E157" i="3" l="1"/>
  <c r="E240" i="3" s="1"/>
  <c r="E105" i="3"/>
  <c r="E73" i="3"/>
  <c r="E38" i="3" s="1"/>
  <c r="E40" i="3" s="1"/>
  <c r="C302" i="3" l="1"/>
  <c r="E271" i="3"/>
  <c r="E254" i="3"/>
  <c r="F231" i="3"/>
  <c r="F163" i="3"/>
  <c r="F123" i="3"/>
  <c r="D82" i="3"/>
  <c r="C82" i="3"/>
  <c r="F57" i="3"/>
  <c r="F294" i="3" l="1"/>
  <c r="F296" i="3" s="1"/>
  <c r="F297" i="3" s="1"/>
  <c r="E109" i="3"/>
  <c r="F71" i="3"/>
  <c r="F73" i="3" s="1"/>
  <c r="D78" i="3"/>
  <c r="D94" i="3" s="1"/>
  <c r="E135" i="3"/>
  <c r="E53" i="3"/>
  <c r="E138" i="3" s="1"/>
  <c r="D79" i="3" l="1"/>
  <c r="E79" i="3"/>
  <c r="E78" i="3"/>
  <c r="E94" i="3" s="1"/>
  <c r="D286" i="3" l="1"/>
  <c r="F248" i="3"/>
  <c r="F263" i="3" s="1"/>
  <c r="F81" i="3"/>
  <c r="F82" i="3" s="1"/>
  <c r="G76" i="3"/>
  <c r="G77" i="3" s="1"/>
  <c r="F86" i="3"/>
  <c r="D98" i="3"/>
  <c r="F79" i="3"/>
  <c r="F87" i="3"/>
  <c r="F78" i="3"/>
  <c r="F170" i="3" l="1"/>
  <c r="F165" i="3"/>
  <c r="F220" i="3"/>
  <c r="F200" i="3"/>
  <c r="F194" i="3"/>
  <c r="F136" i="3"/>
  <c r="E286" i="3"/>
  <c r="F97" i="3"/>
  <c r="F188" i="3" s="1"/>
  <c r="F115" i="3"/>
  <c r="F178" i="3"/>
  <c r="F173" i="3"/>
  <c r="F142" i="3"/>
  <c r="F146" i="3"/>
  <c r="F141" i="3"/>
  <c r="G248" i="3"/>
  <c r="G263" i="3" s="1"/>
  <c r="G81" i="3"/>
  <c r="G82" i="3" s="1"/>
  <c r="F89" i="3"/>
  <c r="G79" i="3"/>
  <c r="H76" i="3"/>
  <c r="H77" i="3" s="1"/>
  <c r="F135" i="3"/>
  <c r="F90" i="3"/>
  <c r="F139" i="3" s="1"/>
  <c r="E98" i="3"/>
  <c r="F98" i="3" s="1"/>
  <c r="F286" i="3" s="1"/>
  <c r="F88" i="3"/>
  <c r="F179" i="3" s="1"/>
  <c r="G78" i="3"/>
  <c r="G87" i="3"/>
  <c r="G86" i="3"/>
  <c r="F189" i="3" l="1"/>
  <c r="F202" i="3"/>
  <c r="G170" i="3"/>
  <c r="G165" i="3"/>
  <c r="G220" i="3"/>
  <c r="G178" i="3"/>
  <c r="H97" i="3"/>
  <c r="H188" i="3" s="1"/>
  <c r="G97" i="3"/>
  <c r="G188" i="3" s="1"/>
  <c r="G146" i="3"/>
  <c r="F180" i="3"/>
  <c r="F181" i="3" s="1"/>
  <c r="F184" i="3" s="1"/>
  <c r="G142" i="3"/>
  <c r="G141" i="3"/>
  <c r="F148" i="3"/>
  <c r="F149" i="3" s="1"/>
  <c r="H248" i="3"/>
  <c r="H263" i="3" s="1"/>
  <c r="H81" i="3"/>
  <c r="G89" i="3"/>
  <c r="F91" i="3"/>
  <c r="F138" i="3"/>
  <c r="F113" i="3" s="1"/>
  <c r="I76" i="3"/>
  <c r="F191" i="3"/>
  <c r="F197" i="3" s="1"/>
  <c r="F222" i="3" s="1"/>
  <c r="G90" i="3"/>
  <c r="G98" i="3"/>
  <c r="G191" i="3" s="1"/>
  <c r="F143" i="3"/>
  <c r="F174" i="3"/>
  <c r="F175" i="3" s="1"/>
  <c r="F176" i="3" s="1"/>
  <c r="G88" i="3"/>
  <c r="G179" i="3" s="1"/>
  <c r="G173" i="3"/>
  <c r="H79" i="3"/>
  <c r="I77" i="3" l="1"/>
  <c r="J76" i="3" s="1"/>
  <c r="F204" i="3"/>
  <c r="H170" i="3"/>
  <c r="H165" i="3"/>
  <c r="G197" i="3"/>
  <c r="G222" i="3" s="1"/>
  <c r="G196" i="3"/>
  <c r="G198" i="3" s="1"/>
  <c r="F196" i="3"/>
  <c r="F198" i="3" s="1"/>
  <c r="G138" i="3"/>
  <c r="G113" i="3" s="1"/>
  <c r="G139" i="3"/>
  <c r="F152" i="3"/>
  <c r="F203" i="3" s="1"/>
  <c r="F241" i="3" s="1"/>
  <c r="F201" i="3"/>
  <c r="G180" i="3"/>
  <c r="G181" i="3" s="1"/>
  <c r="G148" i="3"/>
  <c r="G149" i="3" s="1"/>
  <c r="G201" i="3" s="1"/>
  <c r="G143" i="3"/>
  <c r="G144" i="3" s="1"/>
  <c r="G195" i="3" s="1"/>
  <c r="F192" i="3"/>
  <c r="F144" i="3"/>
  <c r="F195" i="3" s="1"/>
  <c r="G286" i="3"/>
  <c r="G174" i="3"/>
  <c r="G175" i="3" s="1"/>
  <c r="G176" i="3" s="1"/>
  <c r="G91" i="3"/>
  <c r="F282" i="3"/>
  <c r="F283" i="3" s="1"/>
  <c r="F183" i="3"/>
  <c r="H78" i="3"/>
  <c r="F94" i="3"/>
  <c r="H98" i="3"/>
  <c r="H86" i="3"/>
  <c r="H87" i="3"/>
  <c r="H178" i="3" s="1"/>
  <c r="H82" i="3"/>
  <c r="H88" i="3"/>
  <c r="H179" i="3" s="1"/>
  <c r="I81" i="3" l="1"/>
  <c r="F131" i="3"/>
  <c r="F242" i="3"/>
  <c r="F244" i="3" s="1"/>
  <c r="J77" i="3"/>
  <c r="K76" i="3" s="1"/>
  <c r="I248" i="3"/>
  <c r="I263" i="3" s="1"/>
  <c r="I97" i="3"/>
  <c r="I188" i="3" s="1"/>
  <c r="G125" i="3"/>
  <c r="G223" i="3"/>
  <c r="F125" i="3"/>
  <c r="F223" i="3"/>
  <c r="H220" i="3"/>
  <c r="H180" i="3"/>
  <c r="H181" i="3" s="1"/>
  <c r="H146" i="3"/>
  <c r="H142" i="3"/>
  <c r="H141" i="3"/>
  <c r="F151" i="3"/>
  <c r="H89" i="3"/>
  <c r="G94" i="3" s="1"/>
  <c r="F305" i="3"/>
  <c r="H90" i="3"/>
  <c r="H173" i="3"/>
  <c r="F208" i="3"/>
  <c r="H174" i="3"/>
  <c r="G282" i="3"/>
  <c r="G283" i="3" s="1"/>
  <c r="H286" i="3"/>
  <c r="H191" i="3"/>
  <c r="J81" i="3" l="1"/>
  <c r="K77" i="3"/>
  <c r="K248" i="3" s="1"/>
  <c r="K263" i="3" s="1"/>
  <c r="J248" i="3"/>
  <c r="J263" i="3" s="1"/>
  <c r="J97" i="3"/>
  <c r="J188" i="3" s="1"/>
  <c r="H197" i="3"/>
  <c r="H222" i="3" s="1"/>
  <c r="H196" i="3"/>
  <c r="H198" i="3" s="1"/>
  <c r="H138" i="3"/>
  <c r="H113" i="3" s="1"/>
  <c r="H139" i="3"/>
  <c r="F112" i="3"/>
  <c r="F114" i="3" s="1"/>
  <c r="F117" i="3" s="1"/>
  <c r="H148" i="3"/>
  <c r="H149" i="3" s="1"/>
  <c r="H201" i="3" s="1"/>
  <c r="H143" i="3"/>
  <c r="H144" i="3" s="1"/>
  <c r="H195" i="3" s="1"/>
  <c r="H91" i="3"/>
  <c r="G209" i="3"/>
  <c r="I98" i="3"/>
  <c r="I86" i="3"/>
  <c r="I87" i="3"/>
  <c r="I82" i="3"/>
  <c r="I78" i="3"/>
  <c r="H175" i="3"/>
  <c r="H176" i="3" s="1"/>
  <c r="I79" i="3"/>
  <c r="L76" i="3" l="1"/>
  <c r="L77" i="3"/>
  <c r="M76" i="3" s="1"/>
  <c r="K81" i="3"/>
  <c r="K97" i="3"/>
  <c r="K188" i="3" s="1"/>
  <c r="I178" i="3"/>
  <c r="I170" i="3"/>
  <c r="I165" i="3"/>
  <c r="H125" i="3"/>
  <c r="H223" i="3"/>
  <c r="I220" i="3"/>
  <c r="I146" i="3"/>
  <c r="I142" i="3"/>
  <c r="I141" i="3"/>
  <c r="F116" i="3"/>
  <c r="F215" i="3" s="1"/>
  <c r="I89" i="3"/>
  <c r="F212" i="3"/>
  <c r="G208" i="3"/>
  <c r="I90" i="3"/>
  <c r="F209" i="3"/>
  <c r="I286" i="3"/>
  <c r="I191" i="3"/>
  <c r="I173" i="3"/>
  <c r="I88" i="3"/>
  <c r="I179" i="3" s="1"/>
  <c r="H282" i="3"/>
  <c r="H283" i="3" s="1"/>
  <c r="L81" i="3" l="1"/>
  <c r="M77" i="3"/>
  <c r="M248" i="3" s="1"/>
  <c r="M263" i="3" s="1"/>
  <c r="L248" i="3"/>
  <c r="L263" i="3" s="1"/>
  <c r="L97" i="3"/>
  <c r="L188" i="3" s="1"/>
  <c r="I180" i="3"/>
  <c r="I181" i="3" s="1"/>
  <c r="I197" i="3"/>
  <c r="I222" i="3" s="1"/>
  <c r="I196" i="3"/>
  <c r="I198" i="3" s="1"/>
  <c r="I138" i="3"/>
  <c r="I113" i="3" s="1"/>
  <c r="I139" i="3"/>
  <c r="I148" i="3"/>
  <c r="I149" i="3" s="1"/>
  <c r="I201" i="3" s="1"/>
  <c r="I143" i="3"/>
  <c r="I144" i="3" s="1"/>
  <c r="I195" i="3" s="1"/>
  <c r="F130" i="3"/>
  <c r="F132" i="3" s="1"/>
  <c r="G210" i="3"/>
  <c r="F210" i="3"/>
  <c r="F214" i="3" s="1"/>
  <c r="F118" i="3"/>
  <c r="F124" i="3"/>
  <c r="F126" i="3" s="1"/>
  <c r="F306" i="3"/>
  <c r="I91" i="3"/>
  <c r="H94" i="3"/>
  <c r="I174" i="3"/>
  <c r="I175" i="3" s="1"/>
  <c r="J98" i="3"/>
  <c r="J87" i="3"/>
  <c r="J82" i="3"/>
  <c r="J86" i="3"/>
  <c r="H208" i="3"/>
  <c r="J78" i="3"/>
  <c r="J79" i="3"/>
  <c r="N76" i="3" l="1"/>
  <c r="M97" i="3"/>
  <c r="M188" i="3" s="1"/>
  <c r="M81" i="3"/>
  <c r="J131" i="3"/>
  <c r="J125" i="3"/>
  <c r="I125" i="3"/>
  <c r="I223" i="3"/>
  <c r="J178" i="3"/>
  <c r="J147" i="3"/>
  <c r="J146" i="3"/>
  <c r="J141" i="3"/>
  <c r="J142" i="3"/>
  <c r="J117" i="3"/>
  <c r="J116" i="3"/>
  <c r="J215" i="3" s="1"/>
  <c r="J89" i="3"/>
  <c r="F217" i="3"/>
  <c r="F119" i="3"/>
  <c r="J90" i="3"/>
  <c r="J91" i="3"/>
  <c r="H209" i="3"/>
  <c r="I176" i="3"/>
  <c r="I282" i="3"/>
  <c r="I283" i="3" s="1"/>
  <c r="K79" i="3"/>
  <c r="J286" i="3"/>
  <c r="J191" i="3"/>
  <c r="F307" i="3"/>
  <c r="F310" i="3" s="1"/>
  <c r="F313" i="3" s="1"/>
  <c r="J88" i="3"/>
  <c r="J173" i="3"/>
  <c r="N77" i="3" l="1"/>
  <c r="J138" i="3"/>
  <c r="J113" i="3" s="1"/>
  <c r="J139" i="3"/>
  <c r="J180" i="3"/>
  <c r="J181" i="3" s="1"/>
  <c r="J201" i="3" s="1"/>
  <c r="J148" i="3"/>
  <c r="J149" i="3" s="1"/>
  <c r="J143" i="3"/>
  <c r="J144" i="3" s="1"/>
  <c r="F133" i="3"/>
  <c r="G129" i="3" s="1"/>
  <c r="F169" i="3"/>
  <c r="J130" i="3"/>
  <c r="H210" i="3"/>
  <c r="F120" i="3"/>
  <c r="F127" i="3"/>
  <c r="G123" i="3" s="1"/>
  <c r="F164" i="3"/>
  <c r="F218" i="3"/>
  <c r="F264" i="3" s="1"/>
  <c r="I94" i="3"/>
  <c r="K88" i="3"/>
  <c r="J174" i="3"/>
  <c r="J175" i="3" s="1"/>
  <c r="K98" i="3"/>
  <c r="K87" i="3"/>
  <c r="K178" i="3" s="1"/>
  <c r="K86" i="3"/>
  <c r="K82" i="3"/>
  <c r="K78" i="3"/>
  <c r="N248" i="3" l="1"/>
  <c r="N263" i="3" s="1"/>
  <c r="N81" i="3"/>
  <c r="O76" i="3"/>
  <c r="N97" i="3"/>
  <c r="N188" i="3" s="1"/>
  <c r="K131" i="3"/>
  <c r="K125" i="3"/>
  <c r="G194" i="3"/>
  <c r="G152" i="3"/>
  <c r="G136" i="3"/>
  <c r="G200" i="3"/>
  <c r="K180" i="3"/>
  <c r="K181" i="3" s="1"/>
  <c r="K201" i="3" s="1"/>
  <c r="K147" i="3"/>
  <c r="K146" i="3"/>
  <c r="K141" i="3"/>
  <c r="K142" i="3"/>
  <c r="F171" i="3"/>
  <c r="G168" i="3" s="1"/>
  <c r="G184" i="3" s="1"/>
  <c r="K116" i="3"/>
  <c r="K215" i="3" s="1"/>
  <c r="K117" i="3"/>
  <c r="J282" i="3"/>
  <c r="J283" i="3" s="1"/>
  <c r="K89" i="3"/>
  <c r="F166" i="3"/>
  <c r="G163" i="3" s="1"/>
  <c r="G135" i="3"/>
  <c r="G151" i="3"/>
  <c r="K90" i="3"/>
  <c r="K91" i="3"/>
  <c r="J176" i="3"/>
  <c r="J195" i="3" s="1"/>
  <c r="K174" i="3"/>
  <c r="K173" i="3"/>
  <c r="K286" i="3"/>
  <c r="K191" i="3"/>
  <c r="L79" i="3"/>
  <c r="O77" i="3" l="1"/>
  <c r="G203" i="3"/>
  <c r="G241" i="3" s="1"/>
  <c r="K138" i="3"/>
  <c r="K113" i="3" s="1"/>
  <c r="K139" i="3"/>
  <c r="K148" i="3"/>
  <c r="K149" i="3" s="1"/>
  <c r="K143" i="3"/>
  <c r="K144" i="3" s="1"/>
  <c r="K130" i="3"/>
  <c r="G294" i="3"/>
  <c r="G183" i="3"/>
  <c r="G112" i="3"/>
  <c r="I209" i="3"/>
  <c r="K175" i="3"/>
  <c r="K176" i="3" s="1"/>
  <c r="K195" i="3" s="1"/>
  <c r="L98" i="3"/>
  <c r="L86" i="3"/>
  <c r="L82" i="3"/>
  <c r="L87" i="3"/>
  <c r="L178" i="3" s="1"/>
  <c r="L78" i="3"/>
  <c r="J94" i="3"/>
  <c r="I208" i="3"/>
  <c r="L88" i="3"/>
  <c r="P76" i="3" l="1"/>
  <c r="O248" i="3"/>
  <c r="O263" i="3" s="1"/>
  <c r="O81" i="3"/>
  <c r="O97" i="3"/>
  <c r="O188" i="3" s="1"/>
  <c r="L125" i="3"/>
  <c r="L131" i="3"/>
  <c r="L180" i="3"/>
  <c r="L181" i="3" s="1"/>
  <c r="L201" i="3" s="1"/>
  <c r="L146" i="3"/>
  <c r="L147" i="3"/>
  <c r="L142" i="3"/>
  <c r="L141" i="3"/>
  <c r="L116" i="3"/>
  <c r="L215" i="3" s="1"/>
  <c r="L117" i="3"/>
  <c r="K282" i="3"/>
  <c r="K283" i="3" s="1"/>
  <c r="I210" i="3"/>
  <c r="L89" i="3"/>
  <c r="G114" i="3"/>
  <c r="L90" i="3"/>
  <c r="L91" i="3"/>
  <c r="L174" i="3"/>
  <c r="L173" i="3"/>
  <c r="L286" i="3"/>
  <c r="L191" i="3"/>
  <c r="P77" i="3" l="1"/>
  <c r="L138" i="3"/>
  <c r="L113" i="3" s="1"/>
  <c r="L139" i="3"/>
  <c r="L148" i="3"/>
  <c r="L149" i="3" s="1"/>
  <c r="L143" i="3"/>
  <c r="L144" i="3" s="1"/>
  <c r="L130" i="3"/>
  <c r="G117" i="3"/>
  <c r="G116" i="3"/>
  <c r="G215" i="3" s="1"/>
  <c r="G115" i="3"/>
  <c r="G212" i="3"/>
  <c r="G214" i="3" s="1"/>
  <c r="G305" i="3"/>
  <c r="L175" i="3"/>
  <c r="L176" i="3" s="1"/>
  <c r="L195" i="3" s="1"/>
  <c r="K94" i="3"/>
  <c r="M98" i="3"/>
  <c r="M86" i="3"/>
  <c r="M87" i="3"/>
  <c r="M82" i="3"/>
  <c r="M78" i="3"/>
  <c r="M79" i="3"/>
  <c r="Q76" i="3" l="1"/>
  <c r="P248" i="3"/>
  <c r="P263" i="3" s="1"/>
  <c r="P81" i="3"/>
  <c r="P97" i="3"/>
  <c r="P188" i="3" s="1"/>
  <c r="M125" i="3"/>
  <c r="M131" i="3"/>
  <c r="G130" i="3"/>
  <c r="M178" i="3"/>
  <c r="M146" i="3"/>
  <c r="M147" i="3"/>
  <c r="M141" i="3"/>
  <c r="M142" i="3"/>
  <c r="M117" i="3"/>
  <c r="M116" i="3"/>
  <c r="M215" i="3" s="1"/>
  <c r="L282" i="3"/>
  <c r="L283" i="3" s="1"/>
  <c r="M89" i="3"/>
  <c r="G118" i="3"/>
  <c r="G124" i="3"/>
  <c r="G126" i="3" s="1"/>
  <c r="M90" i="3"/>
  <c r="M91" i="3"/>
  <c r="N79" i="3"/>
  <c r="M286" i="3"/>
  <c r="M191" i="3"/>
  <c r="M173" i="3"/>
  <c r="M88" i="3"/>
  <c r="Q77" i="3" l="1"/>
  <c r="M138" i="3"/>
  <c r="M113" i="3" s="1"/>
  <c r="M139" i="3"/>
  <c r="M180" i="3"/>
  <c r="M181" i="3" s="1"/>
  <c r="M201" i="3" s="1"/>
  <c r="M148" i="3"/>
  <c r="M149" i="3" s="1"/>
  <c r="M143" i="3"/>
  <c r="M144" i="3" s="1"/>
  <c r="M130" i="3"/>
  <c r="G217" i="3"/>
  <c r="G119" i="3"/>
  <c r="N78" i="3"/>
  <c r="M174" i="3"/>
  <c r="M175" i="3" s="1"/>
  <c r="N88" i="3"/>
  <c r="N98" i="3"/>
  <c r="N87" i="3"/>
  <c r="N178" i="3" s="1"/>
  <c r="N86" i="3"/>
  <c r="N82" i="3"/>
  <c r="L94" i="3"/>
  <c r="R76" i="3" l="1"/>
  <c r="Q248" i="3"/>
  <c r="Q263" i="3" s="1"/>
  <c r="Q81" i="3"/>
  <c r="Q97" i="3"/>
  <c r="Q188" i="3" s="1"/>
  <c r="N125" i="3"/>
  <c r="N131" i="3"/>
  <c r="N180" i="3"/>
  <c r="N181" i="3" s="1"/>
  <c r="N201" i="3" s="1"/>
  <c r="N146" i="3"/>
  <c r="N147" i="3"/>
  <c r="N142" i="3"/>
  <c r="N141" i="3"/>
  <c r="N117" i="3"/>
  <c r="N116" i="3"/>
  <c r="N215" i="3" s="1"/>
  <c r="M282" i="3"/>
  <c r="M283" i="3" s="1"/>
  <c r="N89" i="3"/>
  <c r="M94" i="3" s="1"/>
  <c r="G120" i="3"/>
  <c r="G218" i="3"/>
  <c r="G264" i="3" s="1"/>
  <c r="G127" i="3"/>
  <c r="H123" i="3" s="1"/>
  <c r="G164" i="3"/>
  <c r="N91" i="3"/>
  <c r="N90" i="3"/>
  <c r="M176" i="3"/>
  <c r="M195" i="3" s="1"/>
  <c r="N174" i="3"/>
  <c r="N173" i="3"/>
  <c r="O78" i="3"/>
  <c r="N286" i="3"/>
  <c r="N191" i="3"/>
  <c r="R77" i="3" l="1"/>
  <c r="O131" i="3"/>
  <c r="O125" i="3"/>
  <c r="H194" i="3"/>
  <c r="N138" i="3"/>
  <c r="N113" i="3" s="1"/>
  <c r="N139" i="3"/>
  <c r="N148" i="3"/>
  <c r="N149" i="3" s="1"/>
  <c r="N143" i="3"/>
  <c r="N144" i="3" s="1"/>
  <c r="O147" i="3"/>
  <c r="O142" i="3"/>
  <c r="N130" i="3"/>
  <c r="O116" i="3"/>
  <c r="O215" i="3" s="1"/>
  <c r="O117" i="3"/>
  <c r="O89" i="3"/>
  <c r="H135" i="3"/>
  <c r="H151" i="3"/>
  <c r="O90" i="3"/>
  <c r="N175" i="3"/>
  <c r="N176" i="3" s="1"/>
  <c r="N195" i="3" s="1"/>
  <c r="O79" i="3"/>
  <c r="O98" i="3"/>
  <c r="O87" i="3"/>
  <c r="O146" i="3" s="1"/>
  <c r="O86" i="3"/>
  <c r="O82" i="3"/>
  <c r="R248" i="3" l="1"/>
  <c r="R263" i="3" s="1"/>
  <c r="S76" i="3"/>
  <c r="R81" i="3"/>
  <c r="R97" i="3"/>
  <c r="R188" i="3" s="1"/>
  <c r="O138" i="3"/>
  <c r="O113" i="3" s="1"/>
  <c r="O139" i="3"/>
  <c r="O178" i="3"/>
  <c r="O141" i="3"/>
  <c r="O143" i="3" s="1"/>
  <c r="O144" i="3" s="1"/>
  <c r="O148" i="3"/>
  <c r="O149" i="3" s="1"/>
  <c r="O130" i="3"/>
  <c r="N282" i="3"/>
  <c r="N283" i="3" s="1"/>
  <c r="H112" i="3"/>
  <c r="O91" i="3"/>
  <c r="O88" i="3"/>
  <c r="O173" i="3"/>
  <c r="O286" i="3"/>
  <c r="O191" i="3"/>
  <c r="N94" i="3"/>
  <c r="P79" i="3"/>
  <c r="S77" i="3" l="1"/>
  <c r="O180" i="3"/>
  <c r="O181" i="3" s="1"/>
  <c r="O201" i="3" s="1"/>
  <c r="H114" i="3"/>
  <c r="O174" i="3"/>
  <c r="O175" i="3" s="1"/>
  <c r="O176" i="3" s="1"/>
  <c r="O195" i="3" s="1"/>
  <c r="P78" i="3"/>
  <c r="P88" i="3"/>
  <c r="P98" i="3"/>
  <c r="P86" i="3"/>
  <c r="P87" i="3"/>
  <c r="P178" i="3" s="1"/>
  <c r="P82" i="3"/>
  <c r="S81" i="3" l="1"/>
  <c r="T76" i="3"/>
  <c r="S248" i="3"/>
  <c r="S263" i="3" s="1"/>
  <c r="S97" i="3"/>
  <c r="S188" i="3" s="1"/>
  <c r="P125" i="3"/>
  <c r="P131" i="3"/>
  <c r="P180" i="3"/>
  <c r="P181" i="3" s="1"/>
  <c r="P201" i="3" s="1"/>
  <c r="P146" i="3"/>
  <c r="P147" i="3"/>
  <c r="P142" i="3"/>
  <c r="P141" i="3"/>
  <c r="P117" i="3"/>
  <c r="P116" i="3"/>
  <c r="P215" i="3" s="1"/>
  <c r="H116" i="3"/>
  <c r="H215" i="3" s="1"/>
  <c r="H117" i="3"/>
  <c r="O282" i="3"/>
  <c r="O283" i="3" s="1"/>
  <c r="H115" i="3"/>
  <c r="P89" i="3"/>
  <c r="O94" i="3" s="1"/>
  <c r="H212" i="3"/>
  <c r="H214" i="3" s="1"/>
  <c r="P90" i="3"/>
  <c r="P91" i="3"/>
  <c r="P174" i="3"/>
  <c r="Q78" i="3"/>
  <c r="P173" i="3"/>
  <c r="P286" i="3"/>
  <c r="P191" i="3"/>
  <c r="T77" i="3" l="1"/>
  <c r="Q125" i="3"/>
  <c r="Q131" i="3"/>
  <c r="P138" i="3"/>
  <c r="P113" i="3" s="1"/>
  <c r="P139" i="3"/>
  <c r="H130" i="3"/>
  <c r="P148" i="3"/>
  <c r="P149" i="3" s="1"/>
  <c r="Q147" i="3"/>
  <c r="P143" i="3"/>
  <c r="P144" i="3" s="1"/>
  <c r="Q142" i="3"/>
  <c r="P130" i="3"/>
  <c r="Q117" i="3"/>
  <c r="Q116" i="3"/>
  <c r="Q215" i="3" s="1"/>
  <c r="Q89" i="3"/>
  <c r="P94" i="3" s="1"/>
  <c r="H124" i="3"/>
  <c r="H126" i="3" s="1"/>
  <c r="H118" i="3"/>
  <c r="Q90" i="3"/>
  <c r="Q98" i="3"/>
  <c r="Q86" i="3"/>
  <c r="Q87" i="3"/>
  <c r="Q141" i="3" s="1"/>
  <c r="Q82" i="3"/>
  <c r="P175" i="3"/>
  <c r="P176" i="3" s="1"/>
  <c r="P195" i="3" s="1"/>
  <c r="Q79" i="3"/>
  <c r="U76" i="3" l="1"/>
  <c r="T248" i="3"/>
  <c r="T263" i="3" s="1"/>
  <c r="T81" i="3"/>
  <c r="T97" i="3"/>
  <c r="T188" i="3" s="1"/>
  <c r="Q138" i="3"/>
  <c r="Q113" i="3" s="1"/>
  <c r="Q139" i="3"/>
  <c r="Q146" i="3"/>
  <c r="Q148" i="3" s="1"/>
  <c r="Q149" i="3" s="1"/>
  <c r="Q178" i="3"/>
  <c r="Q143" i="3"/>
  <c r="Q144" i="3" s="1"/>
  <c r="Q130" i="3"/>
  <c r="P282" i="3"/>
  <c r="P283" i="3" s="1"/>
  <c r="H217" i="3"/>
  <c r="H119" i="3"/>
  <c r="Q91" i="3"/>
  <c r="R78" i="3"/>
  <c r="Q286" i="3"/>
  <c r="Q191" i="3"/>
  <c r="Q88" i="3"/>
  <c r="Q173" i="3"/>
  <c r="U77" i="3" l="1"/>
  <c r="R125" i="3"/>
  <c r="R131" i="3"/>
  <c r="Q180" i="3"/>
  <c r="Q181" i="3" s="1"/>
  <c r="Q201" i="3" s="1"/>
  <c r="R147" i="3"/>
  <c r="R142" i="3"/>
  <c r="R117" i="3"/>
  <c r="R116" i="3"/>
  <c r="R215" i="3" s="1"/>
  <c r="R89" i="3"/>
  <c r="H127" i="3"/>
  <c r="I123" i="3" s="1"/>
  <c r="H164" i="3"/>
  <c r="H120" i="3"/>
  <c r="H218" i="3"/>
  <c r="H264" i="3" s="1"/>
  <c r="R90" i="3"/>
  <c r="Q174" i="3"/>
  <c r="Q175" i="3" s="1"/>
  <c r="Q176" i="3" s="1"/>
  <c r="Q195" i="3" s="1"/>
  <c r="R87" i="3"/>
  <c r="R141" i="3" s="1"/>
  <c r="R82" i="3"/>
  <c r="R98" i="3"/>
  <c r="R86" i="3"/>
  <c r="R79" i="3"/>
  <c r="R178" i="3" s="1"/>
  <c r="V76" i="3" l="1"/>
  <c r="U98" i="3"/>
  <c r="U248" i="3"/>
  <c r="U263" i="3" s="1"/>
  <c r="U81" i="3"/>
  <c r="U97" i="3"/>
  <c r="U188" i="3" s="1"/>
  <c r="I194" i="3"/>
  <c r="R138" i="3"/>
  <c r="R113" i="3" s="1"/>
  <c r="R139" i="3"/>
  <c r="R146" i="3"/>
  <c r="R148" i="3" s="1"/>
  <c r="R149" i="3" s="1"/>
  <c r="R143" i="3"/>
  <c r="R144" i="3" s="1"/>
  <c r="R130" i="3"/>
  <c r="Q282" i="3"/>
  <c r="Q283" i="3" s="1"/>
  <c r="I151" i="3"/>
  <c r="I135" i="3"/>
  <c r="R91" i="3"/>
  <c r="R88" i="3"/>
  <c r="R180" i="3" s="1"/>
  <c r="R181" i="3" s="1"/>
  <c r="R201" i="3" s="1"/>
  <c r="S79" i="3"/>
  <c r="R173" i="3"/>
  <c r="R286" i="3"/>
  <c r="R191" i="3"/>
  <c r="Q94" i="3"/>
  <c r="V77" i="3" l="1"/>
  <c r="I112" i="3"/>
  <c r="R174" i="3"/>
  <c r="R175" i="3" s="1"/>
  <c r="R176" i="3" s="1"/>
  <c r="R195" i="3" s="1"/>
  <c r="S88" i="3"/>
  <c r="S98" i="3"/>
  <c r="S87" i="3"/>
  <c r="S178" i="3" s="1"/>
  <c r="S86" i="3"/>
  <c r="S82" i="3"/>
  <c r="S78" i="3"/>
  <c r="V248" i="3" l="1"/>
  <c r="V263" i="3" s="1"/>
  <c r="V81" i="3"/>
  <c r="W76" i="3"/>
  <c r="V97" i="3"/>
  <c r="V188" i="3" s="1"/>
  <c r="S131" i="3"/>
  <c r="S125" i="3"/>
  <c r="S180" i="3"/>
  <c r="S181" i="3" s="1"/>
  <c r="S201" i="3" s="1"/>
  <c r="S147" i="3"/>
  <c r="S146" i="3"/>
  <c r="S141" i="3"/>
  <c r="S142" i="3"/>
  <c r="R282" i="3"/>
  <c r="R283" i="3" s="1"/>
  <c r="S116" i="3"/>
  <c r="S215" i="3" s="1"/>
  <c r="S117" i="3"/>
  <c r="S89" i="3"/>
  <c r="I114" i="3"/>
  <c r="I212" i="3" s="1"/>
  <c r="I214" i="3" s="1"/>
  <c r="S90" i="3"/>
  <c r="S91" i="3"/>
  <c r="S173" i="3"/>
  <c r="S174" i="3"/>
  <c r="S286" i="3"/>
  <c r="S191" i="3"/>
  <c r="T78" i="3"/>
  <c r="W77" i="3" l="1"/>
  <c r="T125" i="3"/>
  <c r="T131" i="3"/>
  <c r="S138" i="3"/>
  <c r="S113" i="3" s="1"/>
  <c r="S139" i="3"/>
  <c r="S148" i="3"/>
  <c r="S149" i="3" s="1"/>
  <c r="T147" i="3"/>
  <c r="S143" i="3"/>
  <c r="S144" i="3" s="1"/>
  <c r="T142" i="3"/>
  <c r="S130" i="3"/>
  <c r="T116" i="3"/>
  <c r="T215" i="3" s="1"/>
  <c r="T117" i="3"/>
  <c r="I116" i="3"/>
  <c r="I215" i="3" s="1"/>
  <c r="I117" i="3"/>
  <c r="I115" i="3"/>
  <c r="T89" i="3"/>
  <c r="S94" i="3" s="1"/>
  <c r="T90" i="3"/>
  <c r="T79" i="3"/>
  <c r="R94" i="3"/>
  <c r="T98" i="3"/>
  <c r="T86" i="3"/>
  <c r="T82" i="3"/>
  <c r="T87" i="3"/>
  <c r="T146" i="3" s="1"/>
  <c r="S175" i="3"/>
  <c r="S176" i="3" s="1"/>
  <c r="S195" i="3" s="1"/>
  <c r="X76" i="3" l="1"/>
  <c r="W248" i="3"/>
  <c r="W263" i="3" s="1"/>
  <c r="W81" i="3"/>
  <c r="W97" i="3"/>
  <c r="W188" i="3" s="1"/>
  <c r="T138" i="3"/>
  <c r="T113" i="3" s="1"/>
  <c r="T139" i="3"/>
  <c r="T178" i="3"/>
  <c r="I130" i="3"/>
  <c r="T148" i="3"/>
  <c r="T149" i="3" s="1"/>
  <c r="T141" i="3"/>
  <c r="T143" i="3" s="1"/>
  <c r="T144" i="3" s="1"/>
  <c r="T130" i="3"/>
  <c r="S282" i="3"/>
  <c r="S283" i="3" s="1"/>
  <c r="I118" i="3"/>
  <c r="I124" i="3"/>
  <c r="I126" i="3" s="1"/>
  <c r="T91" i="3"/>
  <c r="T88" i="3"/>
  <c r="U79" i="3"/>
  <c r="T173" i="3"/>
  <c r="T286" i="3"/>
  <c r="T191" i="3"/>
  <c r="X77" i="3" l="1"/>
  <c r="T180" i="3"/>
  <c r="T181" i="3" s="1"/>
  <c r="T201" i="3" s="1"/>
  <c r="I119" i="3"/>
  <c r="I217" i="3"/>
  <c r="T174" i="3"/>
  <c r="T175" i="3" s="1"/>
  <c r="T176" i="3" s="1"/>
  <c r="T195" i="3" s="1"/>
  <c r="U88" i="3"/>
  <c r="U78" i="3"/>
  <c r="U86" i="3"/>
  <c r="U87" i="3"/>
  <c r="U178" i="3" s="1"/>
  <c r="U82" i="3"/>
  <c r="X248" i="3" l="1"/>
  <c r="X263" i="3" s="1"/>
  <c r="X81" i="3"/>
  <c r="Y76" i="3"/>
  <c r="X97" i="3"/>
  <c r="X188" i="3" s="1"/>
  <c r="U125" i="3"/>
  <c r="U131" i="3"/>
  <c r="U180" i="3"/>
  <c r="U181" i="3" s="1"/>
  <c r="U201" i="3" s="1"/>
  <c r="U146" i="3"/>
  <c r="U147" i="3"/>
  <c r="U142" i="3"/>
  <c r="U141" i="3"/>
  <c r="T282" i="3"/>
  <c r="T283" i="3" s="1"/>
  <c r="U117" i="3"/>
  <c r="U116" i="3"/>
  <c r="U215" i="3" s="1"/>
  <c r="U89" i="3"/>
  <c r="I127" i="3"/>
  <c r="J123" i="3" s="1"/>
  <c r="I164" i="3"/>
  <c r="I120" i="3"/>
  <c r="I218" i="3"/>
  <c r="I264" i="3" s="1"/>
  <c r="U90" i="3"/>
  <c r="U91" i="3"/>
  <c r="U174" i="3"/>
  <c r="U173" i="3"/>
  <c r="V79" i="3"/>
  <c r="U286" i="3"/>
  <c r="U191" i="3"/>
  <c r="Y77" i="3" l="1"/>
  <c r="U138" i="3"/>
  <c r="U113" i="3" s="1"/>
  <c r="U139" i="3"/>
  <c r="U130" i="3"/>
  <c r="U148" i="3"/>
  <c r="U149" i="3" s="1"/>
  <c r="U143" i="3"/>
  <c r="U144" i="3" s="1"/>
  <c r="J151" i="3"/>
  <c r="J135" i="3"/>
  <c r="U175" i="3"/>
  <c r="U176" i="3" s="1"/>
  <c r="U195" i="3" s="1"/>
  <c r="V88" i="3"/>
  <c r="V87" i="3"/>
  <c r="V178" i="3" s="1"/>
  <c r="V98" i="3"/>
  <c r="V82" i="3"/>
  <c r="V86" i="3"/>
  <c r="T94" i="3"/>
  <c r="V78" i="3"/>
  <c r="Y248" i="3" l="1"/>
  <c r="Y263" i="3" s="1"/>
  <c r="Y81" i="3"/>
  <c r="Z76" i="3"/>
  <c r="Y97" i="3"/>
  <c r="Y188" i="3" s="1"/>
  <c r="V125" i="3"/>
  <c r="V131" i="3"/>
  <c r="V180" i="3"/>
  <c r="V181" i="3" s="1"/>
  <c r="V201" i="3" s="1"/>
  <c r="V146" i="3"/>
  <c r="V147" i="3"/>
  <c r="V142" i="3"/>
  <c r="V141" i="3"/>
  <c r="V117" i="3"/>
  <c r="V116" i="3"/>
  <c r="U282" i="3"/>
  <c r="U283" i="3" s="1"/>
  <c r="V89" i="3"/>
  <c r="J112" i="3"/>
  <c r="V90" i="3"/>
  <c r="V91" i="3"/>
  <c r="V286" i="3"/>
  <c r="V191" i="3"/>
  <c r="W78" i="3"/>
  <c r="V173" i="3"/>
  <c r="V174" i="3"/>
  <c r="Z77" i="3" l="1"/>
  <c r="W131" i="3"/>
  <c r="W125" i="3"/>
  <c r="V138" i="3"/>
  <c r="V113" i="3" s="1"/>
  <c r="V139" i="3"/>
  <c r="V130" i="3"/>
  <c r="V215" i="3"/>
  <c r="V148" i="3"/>
  <c r="V149" i="3" s="1"/>
  <c r="W147" i="3"/>
  <c r="V143" i="3"/>
  <c r="V144" i="3" s="1"/>
  <c r="W142" i="3"/>
  <c r="W116" i="3"/>
  <c r="W215" i="3" s="1"/>
  <c r="W117" i="3"/>
  <c r="W89" i="3"/>
  <c r="W90" i="3"/>
  <c r="U94" i="3"/>
  <c r="W98" i="3"/>
  <c r="W87" i="3"/>
  <c r="W141" i="3" s="1"/>
  <c r="W86" i="3"/>
  <c r="W82" i="3"/>
  <c r="V175" i="3"/>
  <c r="V176" i="3" s="1"/>
  <c r="V195" i="3" s="1"/>
  <c r="W79" i="3"/>
  <c r="Z248" i="3" l="1"/>
  <c r="Z263" i="3" s="1"/>
  <c r="AA76" i="3"/>
  <c r="Z81" i="3"/>
  <c r="Z97" i="3"/>
  <c r="Z188" i="3" s="1"/>
  <c r="W178" i="3"/>
  <c r="W138" i="3"/>
  <c r="W113" i="3" s="1"/>
  <c r="W139" i="3"/>
  <c r="W146" i="3"/>
  <c r="W148" i="3" s="1"/>
  <c r="W149" i="3" s="1"/>
  <c r="W143" i="3"/>
  <c r="W144" i="3" s="1"/>
  <c r="W130" i="3"/>
  <c r="V282" i="3"/>
  <c r="V283" i="3" s="1"/>
  <c r="W91" i="3"/>
  <c r="W286" i="3"/>
  <c r="W191" i="3"/>
  <c r="V94" i="3"/>
  <c r="X78" i="3"/>
  <c r="W88" i="3"/>
  <c r="W173" i="3"/>
  <c r="AA77" i="3" l="1"/>
  <c r="X125" i="3"/>
  <c r="X131" i="3"/>
  <c r="W180" i="3"/>
  <c r="W181" i="3" s="1"/>
  <c r="W201" i="3" s="1"/>
  <c r="X147" i="3"/>
  <c r="X142" i="3"/>
  <c r="X116" i="3"/>
  <c r="X117" i="3"/>
  <c r="X89" i="3"/>
  <c r="J124" i="3"/>
  <c r="J126" i="3" s="1"/>
  <c r="X90" i="3"/>
  <c r="X79" i="3"/>
  <c r="X98" i="3"/>
  <c r="X86" i="3"/>
  <c r="X87" i="3"/>
  <c r="X146" i="3" s="1"/>
  <c r="X82" i="3"/>
  <c r="W174" i="3"/>
  <c r="W175" i="3" s="1"/>
  <c r="W282" i="3" s="1"/>
  <c r="AA248" i="3" l="1"/>
  <c r="AA263" i="3" s="1"/>
  <c r="AA81" i="3"/>
  <c r="AB76" i="3"/>
  <c r="AA97" i="3"/>
  <c r="AA188" i="3" s="1"/>
  <c r="X148" i="3"/>
  <c r="X149" i="3" s="1"/>
  <c r="X138" i="3"/>
  <c r="X113" i="3" s="1"/>
  <c r="X139" i="3"/>
  <c r="X130" i="3"/>
  <c r="X215" i="3"/>
  <c r="X178" i="3"/>
  <c r="X141" i="3"/>
  <c r="X143" i="3" s="1"/>
  <c r="X144" i="3" s="1"/>
  <c r="J217" i="3"/>
  <c r="X91" i="3"/>
  <c r="X88" i="3"/>
  <c r="W176" i="3"/>
  <c r="W195" i="3" s="1"/>
  <c r="W283" i="3"/>
  <c r="W94" i="3"/>
  <c r="Y79" i="3"/>
  <c r="X286" i="3"/>
  <c r="X191" i="3"/>
  <c r="X173" i="3"/>
  <c r="AB77" i="3" l="1"/>
  <c r="X180" i="3"/>
  <c r="X181" i="3" s="1"/>
  <c r="X201" i="3" s="1"/>
  <c r="J164" i="3"/>
  <c r="X174" i="3"/>
  <c r="X175" i="3" s="1"/>
  <c r="X282" i="3" s="1"/>
  <c r="Y78" i="3"/>
  <c r="Y88" i="3"/>
  <c r="Y98" i="3"/>
  <c r="Y86" i="3"/>
  <c r="Y87" i="3"/>
  <c r="Y178" i="3" s="1"/>
  <c r="Y82" i="3"/>
  <c r="AC76" i="3" l="1"/>
  <c r="AB248" i="3"/>
  <c r="AB263" i="3" s="1"/>
  <c r="AB87" i="3"/>
  <c r="AB81" i="3"/>
  <c r="AB86" i="3"/>
  <c r="AB98" i="3"/>
  <c r="AB97" i="3"/>
  <c r="AB188" i="3" s="1"/>
  <c r="Y125" i="3"/>
  <c r="Y131" i="3"/>
  <c r="Y180" i="3"/>
  <c r="Y181" i="3" s="1"/>
  <c r="Y201" i="3" s="1"/>
  <c r="Y147" i="3"/>
  <c r="Y146" i="3"/>
  <c r="Y141" i="3"/>
  <c r="Y142" i="3"/>
  <c r="Y117" i="3"/>
  <c r="Y116" i="3"/>
  <c r="Y89" i="3"/>
  <c r="X94" i="3" s="1"/>
  <c r="K124" i="3"/>
  <c r="Y90" i="3"/>
  <c r="Y91" i="3"/>
  <c r="X176" i="3"/>
  <c r="X195" i="3" s="1"/>
  <c r="X283" i="3"/>
  <c r="Z79" i="3"/>
  <c r="Y286" i="3"/>
  <c r="Y191" i="3"/>
  <c r="Y174" i="3"/>
  <c r="Y173" i="3"/>
  <c r="AB189" i="3" l="1"/>
  <c r="AB202" i="3"/>
  <c r="AB286" i="3"/>
  <c r="AB191" i="3"/>
  <c r="AC77" i="3"/>
  <c r="AC97" i="3" s="1"/>
  <c r="AC188" i="3" s="1"/>
  <c r="Y138" i="3"/>
  <c r="Y113" i="3" s="1"/>
  <c r="Y139" i="3"/>
  <c r="Y130" i="3"/>
  <c r="Y215" i="3"/>
  <c r="Y148" i="3"/>
  <c r="Y149" i="3" s="1"/>
  <c r="Y143" i="3"/>
  <c r="Y144" i="3" s="1"/>
  <c r="K217" i="3"/>
  <c r="Z88" i="3"/>
  <c r="Z98" i="3"/>
  <c r="Z87" i="3"/>
  <c r="Z178" i="3" s="1"/>
  <c r="Z82" i="3"/>
  <c r="Z86" i="3"/>
  <c r="Y175" i="3"/>
  <c r="Y176" i="3" s="1"/>
  <c r="Y195" i="3" s="1"/>
  <c r="Z78" i="3"/>
  <c r="AC189" i="3" l="1"/>
  <c r="AC202" i="3"/>
  <c r="AB204" i="3"/>
  <c r="AB242" i="3" s="1"/>
  <c r="AB197" i="3"/>
  <c r="AB222" i="3" s="1"/>
  <c r="AB196" i="3"/>
  <c r="AB198" i="3" s="1"/>
  <c r="AB223" i="3" s="1"/>
  <c r="AC81" i="3"/>
  <c r="AC86" i="3"/>
  <c r="AC98" i="3"/>
  <c r="AD76" i="3"/>
  <c r="AC248" i="3"/>
  <c r="AC263" i="3" s="1"/>
  <c r="AC87" i="3"/>
  <c r="Z125" i="3"/>
  <c r="Z131" i="3"/>
  <c r="Z180" i="3"/>
  <c r="Z181" i="3" s="1"/>
  <c r="Z201" i="3" s="1"/>
  <c r="Z146" i="3"/>
  <c r="Z147" i="3"/>
  <c r="Z142" i="3"/>
  <c r="Z141" i="3"/>
  <c r="Z117" i="3"/>
  <c r="Z116" i="3"/>
  <c r="Z215" i="3" s="1"/>
  <c r="Y282" i="3"/>
  <c r="Y283" i="3" s="1"/>
  <c r="Z89" i="3"/>
  <c r="Z90" i="3"/>
  <c r="Z91" i="3"/>
  <c r="Z174" i="3"/>
  <c r="Z286" i="3"/>
  <c r="Z191" i="3"/>
  <c r="Z173" i="3"/>
  <c r="AD77" i="3" l="1"/>
  <c r="AC204" i="3"/>
  <c r="AC242" i="3" s="1"/>
  <c r="AC191" i="3"/>
  <c r="AC286" i="3"/>
  <c r="Z197" i="3"/>
  <c r="Z222" i="3" s="1"/>
  <c r="Z196" i="3"/>
  <c r="Z198" i="3" s="1"/>
  <c r="Z223" i="3" s="1"/>
  <c r="Z138" i="3"/>
  <c r="Z113" i="3" s="1"/>
  <c r="Z139" i="3"/>
  <c r="Z148" i="3"/>
  <c r="Z149" i="3" s="1"/>
  <c r="Z143" i="3"/>
  <c r="Z144" i="3" s="1"/>
  <c r="Z130" i="3"/>
  <c r="Z175" i="3"/>
  <c r="Z176" i="3" s="1"/>
  <c r="Z195" i="3" s="1"/>
  <c r="AA79" i="3"/>
  <c r="AA78" i="3"/>
  <c r="Y94" i="3"/>
  <c r="AA98" i="3"/>
  <c r="AA87" i="3"/>
  <c r="AA86" i="3"/>
  <c r="AA82" i="3"/>
  <c r="AD248" i="3" l="1"/>
  <c r="AD263" i="3" s="1"/>
  <c r="AD86" i="3"/>
  <c r="AD81" i="3"/>
  <c r="AD87" i="3"/>
  <c r="AE76" i="3"/>
  <c r="AD98" i="3"/>
  <c r="AC197" i="3"/>
  <c r="AC222" i="3" s="1"/>
  <c r="AC196" i="3"/>
  <c r="AC198" i="3" s="1"/>
  <c r="AC223" i="3" s="1"/>
  <c r="AD97" i="3"/>
  <c r="AD188" i="3" s="1"/>
  <c r="AA131" i="3"/>
  <c r="AA125" i="3"/>
  <c r="Z165" i="3"/>
  <c r="AA178" i="3"/>
  <c r="AA147" i="3"/>
  <c r="AA146" i="3"/>
  <c r="AA141" i="3"/>
  <c r="AA142" i="3"/>
  <c r="AA116" i="3"/>
  <c r="AA215" i="3" s="1"/>
  <c r="AA117" i="3"/>
  <c r="Z282" i="3"/>
  <c r="Z283" i="3" s="1"/>
  <c r="AA89" i="3"/>
  <c r="L124" i="3"/>
  <c r="AA90" i="3"/>
  <c r="AA91" i="3"/>
  <c r="AA88" i="3"/>
  <c r="AB79" i="3"/>
  <c r="AA286" i="3"/>
  <c r="AA191" i="3"/>
  <c r="AA173" i="3"/>
  <c r="AD191" i="3" l="1"/>
  <c r="AD286" i="3"/>
  <c r="AD202" i="3"/>
  <c r="AD189" i="3"/>
  <c r="AE77" i="3"/>
  <c r="AE97" i="3" s="1"/>
  <c r="AE188" i="3" s="1"/>
  <c r="AA197" i="3"/>
  <c r="AA222" i="3" s="1"/>
  <c r="AA196" i="3"/>
  <c r="AA198" i="3" s="1"/>
  <c r="AA223" i="3" s="1"/>
  <c r="AB178" i="3"/>
  <c r="AB170" i="3"/>
  <c r="AB165" i="3"/>
  <c r="AA138" i="3"/>
  <c r="AA113" i="3" s="1"/>
  <c r="AA139" i="3"/>
  <c r="AA180" i="3"/>
  <c r="AA181" i="3" s="1"/>
  <c r="AA201" i="3" s="1"/>
  <c r="AA148" i="3"/>
  <c r="AA149" i="3" s="1"/>
  <c r="AA143" i="3"/>
  <c r="AA144" i="3" s="1"/>
  <c r="AA130" i="3"/>
  <c r="AB173" i="3"/>
  <c r="L217" i="3"/>
  <c r="AA174" i="3"/>
  <c r="AA175" i="3" s="1"/>
  <c r="AA176" i="3" s="1"/>
  <c r="AA195" i="3" s="1"/>
  <c r="AB88" i="3"/>
  <c r="Z94" i="3"/>
  <c r="AB78" i="3"/>
  <c r="AB82" i="3"/>
  <c r="AE189" i="3" l="1"/>
  <c r="AE202" i="3"/>
  <c r="AD197" i="3"/>
  <c r="AD222" i="3" s="1"/>
  <c r="AD196" i="3"/>
  <c r="AD198" i="3" s="1"/>
  <c r="AD223" i="3" s="1"/>
  <c r="AF76" i="3"/>
  <c r="AE87" i="3"/>
  <c r="AE248" i="3"/>
  <c r="AE263" i="3" s="1"/>
  <c r="AE98" i="3"/>
  <c r="AE81" i="3"/>
  <c r="AE86" i="3"/>
  <c r="AD204" i="3"/>
  <c r="AD242" i="3" s="1"/>
  <c r="AA165" i="3"/>
  <c r="AB125" i="3"/>
  <c r="AB131" i="3"/>
  <c r="AB146" i="3"/>
  <c r="AB147" i="3"/>
  <c r="AB174" i="3"/>
  <c r="AB175" i="3" s="1"/>
  <c r="AB176" i="3" s="1"/>
  <c r="AB195" i="3" s="1"/>
  <c r="AB180" i="3"/>
  <c r="AB181" i="3" s="1"/>
  <c r="AB201" i="3" s="1"/>
  <c r="AB142" i="3"/>
  <c r="AB141" i="3"/>
  <c r="AB117" i="3"/>
  <c r="AB116" i="3"/>
  <c r="AB215" i="3" s="1"/>
  <c r="AB89" i="3"/>
  <c r="AB91" i="3"/>
  <c r="AB90" i="3"/>
  <c r="AC79" i="3"/>
  <c r="AA282" i="3"/>
  <c r="AA283" i="3" s="1"/>
  <c r="AE204" i="3" l="1"/>
  <c r="AE242" i="3" s="1"/>
  <c r="AF77" i="3"/>
  <c r="AE191" i="3"/>
  <c r="AE286" i="3"/>
  <c r="AC178" i="3"/>
  <c r="AC170" i="3"/>
  <c r="AC165" i="3"/>
  <c r="AB138" i="3"/>
  <c r="AB113" i="3" s="1"/>
  <c r="AB139" i="3"/>
  <c r="AB148" i="3"/>
  <c r="AB149" i="3" s="1"/>
  <c r="AB143" i="3"/>
  <c r="AB144" i="3" s="1"/>
  <c r="AB130" i="3"/>
  <c r="AC173" i="3"/>
  <c r="AC88" i="3"/>
  <c r="AC78" i="3"/>
  <c r="AC82" i="3"/>
  <c r="AE197" i="3" l="1"/>
  <c r="AE222" i="3" s="1"/>
  <c r="AE196" i="3"/>
  <c r="AE198" i="3" s="1"/>
  <c r="AE223" i="3" s="1"/>
  <c r="AF98" i="3"/>
  <c r="AG76" i="3"/>
  <c r="AF248" i="3"/>
  <c r="AF263" i="3" s="1"/>
  <c r="AF87" i="3"/>
  <c r="AF81" i="3"/>
  <c r="AF86" i="3"/>
  <c r="AF97" i="3"/>
  <c r="AF188" i="3" s="1"/>
  <c r="AC125" i="3"/>
  <c r="AC131" i="3"/>
  <c r="AC174" i="3"/>
  <c r="AC175" i="3" s="1"/>
  <c r="AC176" i="3" s="1"/>
  <c r="AC195" i="3" s="1"/>
  <c r="AC180" i="3"/>
  <c r="AC181" i="3" s="1"/>
  <c r="AC201" i="3" s="1"/>
  <c r="AC146" i="3"/>
  <c r="AC147" i="3"/>
  <c r="AC141" i="3"/>
  <c r="AC142" i="3"/>
  <c r="AC117" i="3"/>
  <c r="AC116" i="3"/>
  <c r="AC215" i="3" s="1"/>
  <c r="AC89" i="3"/>
  <c r="M124" i="3"/>
  <c r="AC90" i="3"/>
  <c r="AB282" i="3"/>
  <c r="AB283" i="3" s="1"/>
  <c r="AC91" i="3"/>
  <c r="AD79" i="3"/>
  <c r="AF189" i="3" l="1"/>
  <c r="AF202" i="3"/>
  <c r="AG77" i="3"/>
  <c r="AF191" i="3"/>
  <c r="AF286" i="3"/>
  <c r="AD178" i="3"/>
  <c r="AD170" i="3"/>
  <c r="AD165" i="3"/>
  <c r="AC138" i="3"/>
  <c r="AC113" i="3" s="1"/>
  <c r="AC139" i="3"/>
  <c r="AC148" i="3"/>
  <c r="AC149" i="3" s="1"/>
  <c r="AC143" i="3"/>
  <c r="AC144" i="3" s="1"/>
  <c r="AC130" i="3"/>
  <c r="AD173" i="3"/>
  <c r="M217" i="3"/>
  <c r="AD88" i="3"/>
  <c r="AD78" i="3"/>
  <c r="AD82" i="3"/>
  <c r="AF204" i="3" l="1"/>
  <c r="AF242" i="3" s="1"/>
  <c r="AF197" i="3"/>
  <c r="AF222" i="3" s="1"/>
  <c r="AF196" i="3"/>
  <c r="AF198" i="3" s="1"/>
  <c r="AF223" i="3" s="1"/>
  <c r="AG81" i="3"/>
  <c r="AH76" i="3"/>
  <c r="AG86" i="3"/>
  <c r="AG87" i="3"/>
  <c r="AG248" i="3"/>
  <c r="AG263" i="3" s="1"/>
  <c r="AG98" i="3"/>
  <c r="AG97" i="3"/>
  <c r="AG188" i="3" s="1"/>
  <c r="AD125" i="3"/>
  <c r="AD131" i="3"/>
  <c r="AD174" i="3"/>
  <c r="AD175" i="3" s="1"/>
  <c r="AD176" i="3" s="1"/>
  <c r="AD195" i="3" s="1"/>
  <c r="AD180" i="3"/>
  <c r="AD181" i="3" s="1"/>
  <c r="AD201" i="3" s="1"/>
  <c r="AD146" i="3"/>
  <c r="AD147" i="3"/>
  <c r="AD142" i="3"/>
  <c r="AD141" i="3"/>
  <c r="AD117" i="3"/>
  <c r="AD116" i="3"/>
  <c r="AD215" i="3" s="1"/>
  <c r="AD89" i="3"/>
  <c r="AC282" i="3"/>
  <c r="AC283" i="3" s="1"/>
  <c r="AD90" i="3"/>
  <c r="AD91" i="3"/>
  <c r="AE79" i="3"/>
  <c r="AG286" i="3" l="1"/>
  <c r="AG191" i="3"/>
  <c r="AH77" i="3"/>
  <c r="AG189" i="3"/>
  <c r="AG202" i="3"/>
  <c r="AE178" i="3"/>
  <c r="AE170" i="3"/>
  <c r="AE165" i="3"/>
  <c r="AD138" i="3"/>
  <c r="AD113" i="3" s="1"/>
  <c r="AD139" i="3"/>
  <c r="AD148" i="3"/>
  <c r="AD149" i="3" s="1"/>
  <c r="AD143" i="3"/>
  <c r="AD144" i="3" s="1"/>
  <c r="AD130" i="3"/>
  <c r="AE173" i="3"/>
  <c r="AE88" i="3"/>
  <c r="AA94" i="3"/>
  <c r="AE78" i="3"/>
  <c r="AE82" i="3"/>
  <c r="AG204" i="3" l="1"/>
  <c r="AG242" i="3" s="1"/>
  <c r="AG197" i="3"/>
  <c r="AG222" i="3" s="1"/>
  <c r="AG196" i="3"/>
  <c r="AG198" i="3" s="1"/>
  <c r="AG223" i="3" s="1"/>
  <c r="AH248" i="3"/>
  <c r="AH263" i="3" s="1"/>
  <c r="AH87" i="3"/>
  <c r="AH81" i="3"/>
  <c r="AH86" i="3"/>
  <c r="AH98" i="3"/>
  <c r="AI76" i="3"/>
  <c r="AH97" i="3"/>
  <c r="AH188" i="3" s="1"/>
  <c r="AE131" i="3"/>
  <c r="AE125" i="3"/>
  <c r="AE147" i="3"/>
  <c r="AE146" i="3"/>
  <c r="AE174" i="3"/>
  <c r="AE175" i="3" s="1"/>
  <c r="AE176" i="3" s="1"/>
  <c r="AE195" i="3" s="1"/>
  <c r="AE180" i="3"/>
  <c r="AE181" i="3" s="1"/>
  <c r="AE201" i="3" s="1"/>
  <c r="AE141" i="3"/>
  <c r="AE142" i="3"/>
  <c r="AE116" i="3"/>
  <c r="AE215" i="3" s="1"/>
  <c r="AE117" i="3"/>
  <c r="AE89" i="3"/>
  <c r="AD282" i="3"/>
  <c r="AD283" i="3" s="1"/>
  <c r="N124" i="3"/>
  <c r="AE91" i="3"/>
  <c r="AE90" i="3"/>
  <c r="AF79" i="3"/>
  <c r="AI77" i="3" l="1"/>
  <c r="AH191" i="3"/>
  <c r="AH286" i="3"/>
  <c r="AH189" i="3"/>
  <c r="AH202" i="3"/>
  <c r="AF178" i="3"/>
  <c r="AF170" i="3"/>
  <c r="AF165" i="3"/>
  <c r="AE138" i="3"/>
  <c r="AE113" i="3" s="1"/>
  <c r="AE139" i="3"/>
  <c r="AE148" i="3"/>
  <c r="AE149" i="3" s="1"/>
  <c r="AE143" i="3"/>
  <c r="AE144" i="3" s="1"/>
  <c r="AE130" i="3"/>
  <c r="AF173" i="3"/>
  <c r="N217" i="3"/>
  <c r="AF88" i="3"/>
  <c r="AB94" i="3"/>
  <c r="AF78" i="3"/>
  <c r="AF82" i="3"/>
  <c r="AH204" i="3" l="1"/>
  <c r="AH242" i="3" s="1"/>
  <c r="AI86" i="3"/>
  <c r="AI248" i="3"/>
  <c r="AI263" i="3" s="1"/>
  <c r="AI87" i="3"/>
  <c r="AI81" i="3"/>
  <c r="AI98" i="3"/>
  <c r="AJ76" i="3"/>
  <c r="AI97" i="3"/>
  <c r="AI188" i="3" s="1"/>
  <c r="AH197" i="3"/>
  <c r="AH222" i="3" s="1"/>
  <c r="AH196" i="3"/>
  <c r="AH198" i="3" s="1"/>
  <c r="AH223" i="3" s="1"/>
  <c r="AF125" i="3"/>
  <c r="AF131" i="3"/>
  <c r="AF146" i="3"/>
  <c r="AF147" i="3"/>
  <c r="AF174" i="3"/>
  <c r="AF175" i="3" s="1"/>
  <c r="AF176" i="3" s="1"/>
  <c r="AF195" i="3" s="1"/>
  <c r="AF180" i="3"/>
  <c r="AF181" i="3" s="1"/>
  <c r="AF201" i="3" s="1"/>
  <c r="AF142" i="3"/>
  <c r="AF141" i="3"/>
  <c r="AF117" i="3"/>
  <c r="AF116" i="3"/>
  <c r="AF215" i="3" s="1"/>
  <c r="G192" i="3"/>
  <c r="H192" i="3"/>
  <c r="I192" i="3"/>
  <c r="AF89" i="3"/>
  <c r="AE282" i="3"/>
  <c r="AE283" i="3" s="1"/>
  <c r="AF91" i="3"/>
  <c r="AF90" i="3"/>
  <c r="AG79" i="3"/>
  <c r="AI189" i="3" l="1"/>
  <c r="AI202" i="3"/>
  <c r="AJ77" i="3"/>
  <c r="AI191" i="3"/>
  <c r="AI286" i="3"/>
  <c r="AG178" i="3"/>
  <c r="AG170" i="3"/>
  <c r="AG165" i="3"/>
  <c r="AF138" i="3"/>
  <c r="AF113" i="3" s="1"/>
  <c r="AF139" i="3"/>
  <c r="AF148" i="3"/>
  <c r="AF149" i="3" s="1"/>
  <c r="AF143" i="3"/>
  <c r="AF144" i="3" s="1"/>
  <c r="AF130" i="3"/>
  <c r="G166" i="3"/>
  <c r="H163" i="3" s="1"/>
  <c r="AG173" i="3"/>
  <c r="AG88" i="3"/>
  <c r="AC94" i="3"/>
  <c r="AG78" i="3"/>
  <c r="AG82" i="3"/>
  <c r="AI197" i="3" l="1"/>
  <c r="AI222" i="3" s="1"/>
  <c r="AI196" i="3"/>
  <c r="AI198" i="3" s="1"/>
  <c r="AI223" i="3" s="1"/>
  <c r="AJ248" i="3"/>
  <c r="AJ263" i="3" s="1"/>
  <c r="AJ87" i="3"/>
  <c r="AJ81" i="3"/>
  <c r="AJ98" i="3"/>
  <c r="AK76" i="3"/>
  <c r="AJ86" i="3"/>
  <c r="AJ97" i="3"/>
  <c r="AJ188" i="3" s="1"/>
  <c r="AI204" i="3"/>
  <c r="AI242" i="3" s="1"/>
  <c r="AG125" i="3"/>
  <c r="AG131" i="3"/>
  <c r="AG174" i="3"/>
  <c r="AG175" i="3" s="1"/>
  <c r="AG176" i="3" s="1"/>
  <c r="AG195" i="3" s="1"/>
  <c r="AG180" i="3"/>
  <c r="AG181" i="3" s="1"/>
  <c r="AG201" i="3" s="1"/>
  <c r="AG147" i="3"/>
  <c r="AG146" i="3"/>
  <c r="AG142" i="3"/>
  <c r="AG141" i="3"/>
  <c r="AG117" i="3"/>
  <c r="AG116" i="3"/>
  <c r="AG215" i="3" s="1"/>
  <c r="G306" i="3"/>
  <c r="G307" i="3" s="1"/>
  <c r="H294" i="3"/>
  <c r="H183" i="3"/>
  <c r="AG89" i="3"/>
  <c r="AF282" i="3"/>
  <c r="AF283" i="3" s="1"/>
  <c r="AG90" i="3"/>
  <c r="AG91" i="3"/>
  <c r="AH79" i="3"/>
  <c r="AJ189" i="3" l="1"/>
  <c r="AJ202" i="3"/>
  <c r="AK77" i="3"/>
  <c r="AJ191" i="3"/>
  <c r="AJ286" i="3"/>
  <c r="AH178" i="3"/>
  <c r="AH170" i="3"/>
  <c r="AH165" i="3"/>
  <c r="AG138" i="3"/>
  <c r="AG113" i="3" s="1"/>
  <c r="AG139" i="3"/>
  <c r="AG148" i="3"/>
  <c r="AG149" i="3" s="1"/>
  <c r="AG143" i="3"/>
  <c r="AG144" i="3" s="1"/>
  <c r="AG130" i="3"/>
  <c r="H305" i="3"/>
  <c r="AH173" i="3"/>
  <c r="O124" i="3"/>
  <c r="AH88" i="3"/>
  <c r="AD94" i="3"/>
  <c r="AH78" i="3"/>
  <c r="AH82" i="3"/>
  <c r="AJ204" i="3" l="1"/>
  <c r="AJ242" i="3" s="1"/>
  <c r="AJ197" i="3"/>
  <c r="AJ222" i="3" s="1"/>
  <c r="AJ196" i="3"/>
  <c r="AJ198" i="3" s="1"/>
  <c r="AJ223" i="3" s="1"/>
  <c r="AJ192" i="3"/>
  <c r="AK98" i="3"/>
  <c r="AK248" i="3"/>
  <c r="AK263" i="3" s="1"/>
  <c r="AL76" i="3"/>
  <c r="AK81" i="3"/>
  <c r="AK87" i="3"/>
  <c r="AK86" i="3"/>
  <c r="AK97" i="3"/>
  <c r="AK188" i="3" s="1"/>
  <c r="AH125" i="3"/>
  <c r="AH131" i="3"/>
  <c r="AH174" i="3"/>
  <c r="AH175" i="3" s="1"/>
  <c r="AH176" i="3" s="1"/>
  <c r="AH195" i="3" s="1"/>
  <c r="AH180" i="3"/>
  <c r="AH181" i="3" s="1"/>
  <c r="AH201" i="3" s="1"/>
  <c r="AH146" i="3"/>
  <c r="AH147" i="3"/>
  <c r="AH142" i="3"/>
  <c r="AH141" i="3"/>
  <c r="AH117" i="3"/>
  <c r="AH116" i="3"/>
  <c r="AH215" i="3" s="1"/>
  <c r="H166" i="3"/>
  <c r="I163" i="3" s="1"/>
  <c r="AH89" i="3"/>
  <c r="AG282" i="3"/>
  <c r="AG283" i="3" s="1"/>
  <c r="O217" i="3"/>
  <c r="AH90" i="3"/>
  <c r="AH91" i="3"/>
  <c r="AI79" i="3"/>
  <c r="AK189" i="3" l="1"/>
  <c r="AK202" i="3"/>
  <c r="AL77" i="3"/>
  <c r="AK286" i="3"/>
  <c r="AK191" i="3"/>
  <c r="AI178" i="3"/>
  <c r="AI170" i="3"/>
  <c r="AI165" i="3"/>
  <c r="AH138" i="3"/>
  <c r="AH113" i="3" s="1"/>
  <c r="AH139" i="3"/>
  <c r="AH143" i="3"/>
  <c r="AH144" i="3" s="1"/>
  <c r="AH148" i="3"/>
  <c r="AH149" i="3" s="1"/>
  <c r="AH130" i="3"/>
  <c r="H306" i="3"/>
  <c r="H307" i="3" s="1"/>
  <c r="I183" i="3"/>
  <c r="I294" i="3"/>
  <c r="AI173" i="3"/>
  <c r="AI88" i="3"/>
  <c r="AE94" i="3"/>
  <c r="AI78" i="3"/>
  <c r="AI82" i="3"/>
  <c r="AK197" i="3" l="1"/>
  <c r="AK222" i="3" s="1"/>
  <c r="AK196" i="3"/>
  <c r="AK198" i="3" s="1"/>
  <c r="AK223" i="3" s="1"/>
  <c r="AK192" i="3"/>
  <c r="AK204" i="3"/>
  <c r="AK242" i="3" s="1"/>
  <c r="AL248" i="3"/>
  <c r="AL263" i="3" s="1"/>
  <c r="AL98" i="3"/>
  <c r="AL81" i="3"/>
  <c r="AM76" i="3"/>
  <c r="AL86" i="3"/>
  <c r="AL87" i="3"/>
  <c r="AL97" i="3"/>
  <c r="AL188" i="3" s="1"/>
  <c r="AI131" i="3"/>
  <c r="AI125" i="3"/>
  <c r="AI174" i="3"/>
  <c r="AI175" i="3" s="1"/>
  <c r="AI176" i="3" s="1"/>
  <c r="AI195" i="3" s="1"/>
  <c r="AI180" i="3"/>
  <c r="AI181" i="3" s="1"/>
  <c r="AI201" i="3" s="1"/>
  <c r="AI147" i="3"/>
  <c r="AI146" i="3"/>
  <c r="AI141" i="3"/>
  <c r="AI142" i="3"/>
  <c r="AI116" i="3"/>
  <c r="AI215" i="3" s="1"/>
  <c r="AI117" i="3"/>
  <c r="I305" i="3"/>
  <c r="AI89" i="3"/>
  <c r="AH282" i="3"/>
  <c r="AH283" i="3" s="1"/>
  <c r="AI91" i="3"/>
  <c r="AI90" i="3"/>
  <c r="AJ79" i="3"/>
  <c r="AM77" i="3" l="1"/>
  <c r="AL189" i="3"/>
  <c r="AL202" i="3"/>
  <c r="AL286" i="3"/>
  <c r="AL191" i="3"/>
  <c r="AJ178" i="3"/>
  <c r="AJ170" i="3"/>
  <c r="AJ165" i="3"/>
  <c r="AI138" i="3"/>
  <c r="AI113" i="3" s="1"/>
  <c r="AI139" i="3"/>
  <c r="AI148" i="3"/>
  <c r="AI149" i="3" s="1"/>
  <c r="AI143" i="3"/>
  <c r="AI144" i="3" s="1"/>
  <c r="AI130" i="3"/>
  <c r="I166" i="3"/>
  <c r="J163" i="3" s="1"/>
  <c r="J194" i="3" s="1"/>
  <c r="AJ173" i="3"/>
  <c r="P124" i="3"/>
  <c r="AJ88" i="3"/>
  <c r="AF94" i="3"/>
  <c r="AJ78" i="3"/>
  <c r="AJ82" i="3"/>
  <c r="AL197" i="3" l="1"/>
  <c r="AL222" i="3" s="1"/>
  <c r="AL196" i="3"/>
  <c r="AL198" i="3" s="1"/>
  <c r="AL223" i="3" s="1"/>
  <c r="AL192" i="3"/>
  <c r="AM87" i="3"/>
  <c r="AM248" i="3"/>
  <c r="AM263" i="3" s="1"/>
  <c r="AM98" i="3"/>
  <c r="AM81" i="3"/>
  <c r="AM86" i="3"/>
  <c r="AM97" i="3"/>
  <c r="AM188" i="3" s="1"/>
  <c r="AL204" i="3"/>
  <c r="AL242" i="3" s="1"/>
  <c r="AJ125" i="3"/>
  <c r="AJ131" i="3"/>
  <c r="AJ146" i="3"/>
  <c r="AJ147" i="3"/>
  <c r="AJ174" i="3"/>
  <c r="AJ175" i="3" s="1"/>
  <c r="AJ176" i="3" s="1"/>
  <c r="AJ195" i="3" s="1"/>
  <c r="AJ180" i="3"/>
  <c r="AJ181" i="3" s="1"/>
  <c r="AJ201" i="3" s="1"/>
  <c r="AJ141" i="3"/>
  <c r="AJ142" i="3"/>
  <c r="AJ116" i="3"/>
  <c r="AJ215" i="3" s="1"/>
  <c r="AJ117" i="3"/>
  <c r="I306" i="3"/>
  <c r="I307" i="3" s="1"/>
  <c r="J183" i="3"/>
  <c r="J294" i="3"/>
  <c r="AJ89" i="3"/>
  <c r="AI282" i="3"/>
  <c r="AI283" i="3" s="1"/>
  <c r="P217" i="3"/>
  <c r="AJ91" i="3"/>
  <c r="AJ90" i="3"/>
  <c r="AK79" i="3"/>
  <c r="AM202" i="3" l="1"/>
  <c r="AM189" i="3"/>
  <c r="D188" i="3"/>
  <c r="I45" i="3" s="1"/>
  <c r="AM191" i="3"/>
  <c r="AM286" i="3"/>
  <c r="AK178" i="3"/>
  <c r="AK170" i="3"/>
  <c r="AK165" i="3"/>
  <c r="J197" i="3"/>
  <c r="J222" i="3" s="1"/>
  <c r="J127" i="3"/>
  <c r="K123" i="3" s="1"/>
  <c r="AJ138" i="3"/>
  <c r="AJ113" i="3" s="1"/>
  <c r="AJ139" i="3"/>
  <c r="AJ148" i="3"/>
  <c r="AJ149" i="3" s="1"/>
  <c r="AJ143" i="3"/>
  <c r="AJ144" i="3" s="1"/>
  <c r="AJ130" i="3"/>
  <c r="AK173" i="3"/>
  <c r="AK88" i="3"/>
  <c r="AG94" i="3"/>
  <c r="AK78" i="3"/>
  <c r="AK82" i="3"/>
  <c r="W189" i="3" l="1"/>
  <c r="X189" i="3"/>
  <c r="Y189" i="3"/>
  <c r="Z189" i="3"/>
  <c r="AA189" i="3"/>
  <c r="AM204" i="3"/>
  <c r="AM242" i="3" s="1"/>
  <c r="AM197" i="3"/>
  <c r="AM222" i="3" s="1"/>
  <c r="AM196" i="3"/>
  <c r="AM198" i="3" s="1"/>
  <c r="AM223" i="3" s="1"/>
  <c r="AM192" i="3"/>
  <c r="D191" i="3"/>
  <c r="I39" i="3" s="1"/>
  <c r="G189" i="3"/>
  <c r="G202" i="3" s="1"/>
  <c r="K189" i="3"/>
  <c r="O189" i="3"/>
  <c r="S189" i="3"/>
  <c r="H189" i="3"/>
  <c r="L189" i="3"/>
  <c r="P189" i="3"/>
  <c r="T189" i="3"/>
  <c r="I189" i="3"/>
  <c r="M189" i="3"/>
  <c r="Q189" i="3"/>
  <c r="U189" i="3"/>
  <c r="J189" i="3"/>
  <c r="N189" i="3"/>
  <c r="R189" i="3"/>
  <c r="V189" i="3"/>
  <c r="J305" i="3"/>
  <c r="AK125" i="3"/>
  <c r="AK131" i="3"/>
  <c r="K135" i="3"/>
  <c r="K126" i="3"/>
  <c r="K164" i="3" s="1"/>
  <c r="K151" i="3"/>
  <c r="K112" i="3" s="1"/>
  <c r="K114" i="3" s="1"/>
  <c r="K212" i="3" s="1"/>
  <c r="AK174" i="3"/>
  <c r="AK175" i="3" s="1"/>
  <c r="AK176" i="3" s="1"/>
  <c r="AK195" i="3" s="1"/>
  <c r="AK180" i="3"/>
  <c r="AK181" i="3" s="1"/>
  <c r="AK201" i="3" s="1"/>
  <c r="AK146" i="3"/>
  <c r="AK147" i="3"/>
  <c r="AK142" i="3"/>
  <c r="AK141" i="3"/>
  <c r="AK117" i="3"/>
  <c r="AK116" i="3"/>
  <c r="AK215" i="3" s="1"/>
  <c r="AK89" i="3"/>
  <c r="AJ282" i="3"/>
  <c r="AJ283" i="3" s="1"/>
  <c r="AK90" i="3"/>
  <c r="AK91" i="3"/>
  <c r="AL79" i="3"/>
  <c r="G204" i="3" l="1"/>
  <c r="AL178" i="3"/>
  <c r="AL170" i="3"/>
  <c r="AL165" i="3"/>
  <c r="K115" i="3"/>
  <c r="K118" i="3" s="1"/>
  <c r="K119" i="3" s="1"/>
  <c r="K218" i="3" s="1"/>
  <c r="K264" i="3" s="1"/>
  <c r="AK138" i="3"/>
  <c r="AK113" i="3" s="1"/>
  <c r="AK139" i="3"/>
  <c r="AK148" i="3"/>
  <c r="AK149" i="3" s="1"/>
  <c r="AK143" i="3"/>
  <c r="AK144" i="3" s="1"/>
  <c r="AK130" i="3"/>
  <c r="AK94" i="3"/>
  <c r="AH94" i="3"/>
  <c r="AL173" i="3"/>
  <c r="Q124" i="3"/>
  <c r="AL88" i="3"/>
  <c r="AL78" i="3"/>
  <c r="AL82" i="3"/>
  <c r="G131" i="3" l="1"/>
  <c r="G132" i="3" s="1"/>
  <c r="G169" i="3" s="1"/>
  <c r="G171" i="3" s="1"/>
  <c r="H168" i="3" s="1"/>
  <c r="H184" i="3" s="1"/>
  <c r="G242" i="3"/>
  <c r="G244" i="3" s="1"/>
  <c r="AL125" i="3"/>
  <c r="AL131" i="3"/>
  <c r="K120" i="3"/>
  <c r="AL174" i="3"/>
  <c r="AL175" i="3" s="1"/>
  <c r="AL176" i="3" s="1"/>
  <c r="AL195" i="3" s="1"/>
  <c r="AL180" i="3"/>
  <c r="AL181" i="3" s="1"/>
  <c r="AL201" i="3" s="1"/>
  <c r="AL146" i="3"/>
  <c r="AL147" i="3"/>
  <c r="AL142" i="3"/>
  <c r="AL141" i="3"/>
  <c r="AL117" i="3"/>
  <c r="AL116" i="3"/>
  <c r="AL215" i="3" s="1"/>
  <c r="AL89" i="3"/>
  <c r="AK282" i="3"/>
  <c r="AK283" i="3" s="1"/>
  <c r="Q217" i="3"/>
  <c r="AL90" i="3"/>
  <c r="AL91" i="3"/>
  <c r="AM79" i="3"/>
  <c r="G133" i="3" l="1"/>
  <c r="H129" i="3" s="1"/>
  <c r="H136" i="3" s="1"/>
  <c r="AM178" i="3"/>
  <c r="AM170" i="3"/>
  <c r="AM165" i="3"/>
  <c r="AL138" i="3"/>
  <c r="AL113" i="3" s="1"/>
  <c r="AL139" i="3"/>
  <c r="AL148" i="3"/>
  <c r="AL149" i="3" s="1"/>
  <c r="AL143" i="3"/>
  <c r="AL144" i="3" s="1"/>
  <c r="AL130" i="3"/>
  <c r="AL94" i="3"/>
  <c r="AI94" i="3"/>
  <c r="AM173" i="3"/>
  <c r="AM88" i="3"/>
  <c r="AM78" i="3"/>
  <c r="AM82" i="3"/>
  <c r="AM180" i="3" l="1"/>
  <c r="AM181" i="3" s="1"/>
  <c r="AM201" i="3" s="1"/>
  <c r="H152" i="3"/>
  <c r="H203" i="3" s="1"/>
  <c r="H241" i="3" s="1"/>
  <c r="H200" i="3"/>
  <c r="H202" i="3" s="1"/>
  <c r="AM131" i="3"/>
  <c r="AM125" i="3"/>
  <c r="AM147" i="3"/>
  <c r="AM146" i="3"/>
  <c r="AM141" i="3"/>
  <c r="AM142" i="3"/>
  <c r="AM116" i="3"/>
  <c r="AM117" i="3"/>
  <c r="F6" i="7" s="1"/>
  <c r="AM89" i="3"/>
  <c r="AM174" i="3"/>
  <c r="AM175" i="3" s="1"/>
  <c r="AM176" i="3" s="1"/>
  <c r="AM195" i="3" s="1"/>
  <c r="AL282" i="3"/>
  <c r="AL283" i="3" s="1"/>
  <c r="AM91" i="3"/>
  <c r="AM90" i="3"/>
  <c r="H204" i="3" l="1"/>
  <c r="AM138" i="3"/>
  <c r="AM113" i="3" s="1"/>
  <c r="C8" i="7" s="1"/>
  <c r="AM139" i="3"/>
  <c r="F8" i="7"/>
  <c r="AM215" i="3"/>
  <c r="AM148" i="3"/>
  <c r="AM149" i="3" s="1"/>
  <c r="AM130" i="3"/>
  <c r="E130" i="3" s="1"/>
  <c r="AM143" i="3"/>
  <c r="AM144" i="3" s="1"/>
  <c r="E116" i="3"/>
  <c r="AM94" i="3"/>
  <c r="AJ94" i="3"/>
  <c r="H131" i="3" l="1"/>
  <c r="H132" i="3" s="1"/>
  <c r="H169" i="3" s="1"/>
  <c r="H171" i="3" s="1"/>
  <c r="I168" i="3" s="1"/>
  <c r="I184" i="3" s="1"/>
  <c r="H242" i="3"/>
  <c r="H244" i="3" s="1"/>
  <c r="E215" i="3"/>
  <c r="AM282" i="3"/>
  <c r="AM283" i="3" s="1"/>
  <c r="R124" i="3"/>
  <c r="H133" i="3" l="1"/>
  <c r="I129" i="3" s="1"/>
  <c r="I152" i="3" s="1"/>
  <c r="I203" i="3" s="1"/>
  <c r="I241" i="3" s="1"/>
  <c r="R217" i="3"/>
  <c r="I200" i="3" l="1"/>
  <c r="I202" i="3" s="1"/>
  <c r="I204" i="3" s="1"/>
  <c r="I136" i="3"/>
  <c r="S124" i="3"/>
  <c r="I131" i="3" l="1"/>
  <c r="I132" i="3" s="1"/>
  <c r="I169" i="3" s="1"/>
  <c r="I171" i="3" s="1"/>
  <c r="J168" i="3" s="1"/>
  <c r="J200" i="3" s="1"/>
  <c r="J202" i="3" s="1"/>
  <c r="I242" i="3"/>
  <c r="I244" i="3" s="1"/>
  <c r="S217" i="3"/>
  <c r="J184" i="3" l="1"/>
  <c r="J203" i="3" s="1"/>
  <c r="J241" i="3" s="1"/>
  <c r="I133" i="3"/>
  <c r="J129" i="3" s="1"/>
  <c r="J132" i="3" s="1"/>
  <c r="J169" i="3" s="1"/>
  <c r="T124" i="3"/>
  <c r="J133" i="3" l="1"/>
  <c r="K129" i="3" s="1"/>
  <c r="K152" i="3" s="1"/>
  <c r="J204" i="3"/>
  <c r="J170" i="3" s="1"/>
  <c r="J152" i="3"/>
  <c r="J136" i="3"/>
  <c r="T217" i="3"/>
  <c r="K136" i="3" l="1"/>
  <c r="K132" i="3"/>
  <c r="K169" i="3" s="1"/>
  <c r="J242" i="3"/>
  <c r="J244" i="3" s="1"/>
  <c r="U124" i="3"/>
  <c r="U217" i="3" l="1"/>
  <c r="V124" i="3" l="1"/>
  <c r="V217" i="3" l="1"/>
  <c r="E113" i="3" l="1"/>
  <c r="W124" i="3" l="1"/>
  <c r="W217" i="3" l="1"/>
  <c r="X124" i="3" l="1"/>
  <c r="X217" i="3" s="1"/>
  <c r="Z124" i="3" l="1"/>
  <c r="Z217" i="3" l="1"/>
  <c r="AA124" i="3" l="1"/>
  <c r="AA217" i="3" l="1"/>
  <c r="AK209" i="3" l="1"/>
  <c r="Y209" i="3"/>
  <c r="X209" i="3"/>
  <c r="S209" i="3"/>
  <c r="K209" i="3"/>
  <c r="R209" i="3" l="1"/>
  <c r="AB209" i="3"/>
  <c r="AD208" i="3"/>
  <c r="AL208" i="3"/>
  <c r="V208" i="3"/>
  <c r="N208" i="3"/>
  <c r="AF209" i="3"/>
  <c r="L209" i="3"/>
  <c r="AM209" i="3"/>
  <c r="AH208" i="3"/>
  <c r="W209" i="3"/>
  <c r="R208" i="3"/>
  <c r="J209" i="3"/>
  <c r="N209" i="3"/>
  <c r="V209" i="3"/>
  <c r="Z209" i="3"/>
  <c r="AD209" i="3"/>
  <c r="AL209" i="3"/>
  <c r="AK208" i="3"/>
  <c r="AK210" i="3" s="1"/>
  <c r="AG208" i="3"/>
  <c r="AC208" i="3"/>
  <c r="Y208" i="3"/>
  <c r="Y210" i="3" s="1"/>
  <c r="U208" i="3"/>
  <c r="M208" i="3"/>
  <c r="AM208" i="3"/>
  <c r="AE208" i="3"/>
  <c r="W208" i="3"/>
  <c r="O208" i="3"/>
  <c r="AJ208" i="3"/>
  <c r="AF208" i="3"/>
  <c r="AB208" i="3"/>
  <c r="X208" i="3"/>
  <c r="X210" i="3" s="1"/>
  <c r="T208" i="3"/>
  <c r="P208" i="3"/>
  <c r="L208" i="3"/>
  <c r="AI208" i="3"/>
  <c r="AA208" i="3"/>
  <c r="S208" i="3"/>
  <c r="S210" i="3" s="1"/>
  <c r="K208" i="3"/>
  <c r="K210" i="3" s="1"/>
  <c r="K214" i="3" s="1"/>
  <c r="Z208" i="3"/>
  <c r="Z210" i="3" s="1"/>
  <c r="O209" i="3"/>
  <c r="T209" i="3"/>
  <c r="AE209" i="3"/>
  <c r="AJ209" i="3"/>
  <c r="AI209" i="3"/>
  <c r="M209" i="3"/>
  <c r="Q209" i="3"/>
  <c r="U209" i="3"/>
  <c r="AC209" i="3"/>
  <c r="AG209" i="3"/>
  <c r="Q208" i="3"/>
  <c r="P209" i="3"/>
  <c r="AA209" i="3"/>
  <c r="AM210" i="3" l="1"/>
  <c r="W210" i="3"/>
  <c r="Q210" i="3"/>
  <c r="P210" i="3"/>
  <c r="AF210" i="3"/>
  <c r="AE210" i="3"/>
  <c r="N210" i="3"/>
  <c r="AJ210" i="3"/>
  <c r="V210" i="3"/>
  <c r="L210" i="3"/>
  <c r="T210" i="3"/>
  <c r="AC210" i="3"/>
  <c r="AI210" i="3"/>
  <c r="O210" i="3"/>
  <c r="M210" i="3"/>
  <c r="AG210" i="3"/>
  <c r="R210" i="3"/>
  <c r="AL210" i="3"/>
  <c r="AA210" i="3"/>
  <c r="AB210" i="3"/>
  <c r="U210" i="3"/>
  <c r="AD210" i="3"/>
  <c r="AB124" i="3"/>
  <c r="J208" i="3"/>
  <c r="F17" i="7" s="1"/>
  <c r="E156" i="3"/>
  <c r="J210" i="3" l="1"/>
  <c r="E208" i="3"/>
  <c r="AB217" i="3"/>
  <c r="E160" i="3"/>
  <c r="AH209" i="3"/>
  <c r="C13" i="7" s="1"/>
  <c r="AH210" i="3" l="1"/>
  <c r="E209" i="3"/>
  <c r="AC124" i="3" l="1"/>
  <c r="AC217" i="3" s="1"/>
  <c r="AD124" i="3" l="1"/>
  <c r="AD217" i="3" s="1"/>
  <c r="AE124" i="3" l="1"/>
  <c r="AE217" i="3" l="1"/>
  <c r="AG124" i="3" l="1"/>
  <c r="AG217" i="3" l="1"/>
  <c r="AH124" i="3" l="1"/>
  <c r="AH217" i="3" s="1"/>
  <c r="AI124" i="3" l="1"/>
  <c r="AI217" i="3" s="1"/>
  <c r="AJ124" i="3" l="1"/>
  <c r="AJ217" i="3" l="1"/>
  <c r="AK124" i="3" l="1"/>
  <c r="AK217" i="3" l="1"/>
  <c r="AL124" i="3" l="1"/>
  <c r="AL217" i="3" l="1"/>
  <c r="AM124" i="3" l="1"/>
  <c r="AM217" i="3" l="1"/>
  <c r="J192" i="3" l="1"/>
  <c r="J196" i="3" s="1"/>
  <c r="J198" i="3" s="1"/>
  <c r="J223" i="3" s="1"/>
  <c r="K192" i="3"/>
  <c r="L192" i="3"/>
  <c r="M192" i="3"/>
  <c r="N192" i="3"/>
  <c r="O192" i="3"/>
  <c r="P192" i="3"/>
  <c r="Q192" i="3"/>
  <c r="R192" i="3"/>
  <c r="S192" i="3"/>
  <c r="T192" i="3"/>
  <c r="U192" i="3"/>
  <c r="V192" i="3"/>
  <c r="W192" i="3"/>
  <c r="X192" i="3"/>
  <c r="Y192" i="3"/>
  <c r="Z192" i="3"/>
  <c r="AA192" i="3"/>
  <c r="AB192" i="3"/>
  <c r="AC192" i="3"/>
  <c r="AD192" i="3"/>
  <c r="AE192" i="3"/>
  <c r="AF192" i="3"/>
  <c r="AG192" i="3"/>
  <c r="AH192" i="3"/>
  <c r="AI192" i="3"/>
  <c r="J165" i="3" l="1"/>
  <c r="J166" i="3" s="1"/>
  <c r="K163" i="3" s="1"/>
  <c r="J306" i="3"/>
  <c r="J171" i="3"/>
  <c r="K168" i="3" s="1"/>
  <c r="K294" i="3" l="1"/>
  <c r="K194" i="3"/>
  <c r="K196" i="3" s="1"/>
  <c r="K184" i="3"/>
  <c r="K203" i="3" s="1"/>
  <c r="K241" i="3" s="1"/>
  <c r="K200" i="3"/>
  <c r="K202" i="3" s="1"/>
  <c r="K183" i="3"/>
  <c r="K197" i="3" s="1"/>
  <c r="K222" i="3" s="1"/>
  <c r="J307" i="3"/>
  <c r="K198" i="3" l="1"/>
  <c r="K223" i="3" s="1"/>
  <c r="K204" i="3"/>
  <c r="K305" i="3"/>
  <c r="K170" i="3" l="1"/>
  <c r="K242" i="3"/>
  <c r="K244" i="3" s="1"/>
  <c r="K127" i="3"/>
  <c r="L123" i="3" s="1"/>
  <c r="K165" i="3"/>
  <c r="K133" i="3"/>
  <c r="L129" i="3" s="1"/>
  <c r="L132" i="3" s="1"/>
  <c r="L135" i="3" l="1"/>
  <c r="L126" i="3"/>
  <c r="L164" i="3" s="1"/>
  <c r="L151" i="3"/>
  <c r="L112" i="3" s="1"/>
  <c r="L114" i="3" s="1"/>
  <c r="L115" i="3" s="1"/>
  <c r="L169" i="3"/>
  <c r="L152" i="3"/>
  <c r="L136" i="3"/>
  <c r="K166" i="3"/>
  <c r="L163" i="3" s="1"/>
  <c r="L194" i="3" s="1"/>
  <c r="L196" i="3" s="1"/>
  <c r="L118" i="3" l="1"/>
  <c r="L119" i="3" s="1"/>
  <c r="L218" i="3" s="1"/>
  <c r="L264" i="3" s="1"/>
  <c r="L212" i="3"/>
  <c r="L214" i="3" s="1"/>
  <c r="K171" i="3"/>
  <c r="L168" i="3" s="1"/>
  <c r="L183" i="3"/>
  <c r="L294" i="3"/>
  <c r="K306" i="3"/>
  <c r="L197" i="3" l="1"/>
  <c r="L222" i="3" s="1"/>
  <c r="L127" i="3"/>
  <c r="M123" i="3" s="1"/>
  <c r="L120" i="3"/>
  <c r="L184" i="3"/>
  <c r="L203" i="3" s="1"/>
  <c r="L241" i="3" s="1"/>
  <c r="L200" i="3"/>
  <c r="L202" i="3" s="1"/>
  <c r="K307" i="3"/>
  <c r="L198" i="3" l="1"/>
  <c r="L223" i="3" s="1"/>
  <c r="L305" i="3"/>
  <c r="M151" i="3"/>
  <c r="M112" i="3" s="1"/>
  <c r="M126" i="3"/>
  <c r="M164" i="3" s="1"/>
  <c r="M135" i="3"/>
  <c r="L204" i="3"/>
  <c r="L170" i="3" l="1"/>
  <c r="L242" i="3"/>
  <c r="L244" i="3" s="1"/>
  <c r="L165" i="3"/>
  <c r="L166" i="3" s="1"/>
  <c r="M163" i="3" s="1"/>
  <c r="M194" i="3" s="1"/>
  <c r="M196" i="3" s="1"/>
  <c r="L133" i="3"/>
  <c r="M129" i="3" s="1"/>
  <c r="M114" i="3"/>
  <c r="E117" i="3"/>
  <c r="M152" i="3" l="1"/>
  <c r="M132" i="3"/>
  <c r="M169" i="3" s="1"/>
  <c r="M136" i="3"/>
  <c r="M115" i="3"/>
  <c r="M212" i="3"/>
  <c r="M214" i="3" s="1"/>
  <c r="L171" i="3"/>
  <c r="M168" i="3" s="1"/>
  <c r="M294" i="3"/>
  <c r="M183" i="3"/>
  <c r="L306" i="3"/>
  <c r="M197" i="3" l="1"/>
  <c r="M222" i="3" s="1"/>
  <c r="M127" i="3"/>
  <c r="N123" i="3" s="1"/>
  <c r="M118" i="3"/>
  <c r="M184" i="3"/>
  <c r="M203" i="3" s="1"/>
  <c r="M241" i="3" s="1"/>
  <c r="M200" i="3"/>
  <c r="M202" i="3" s="1"/>
  <c r="L307" i="3"/>
  <c r="M198" i="3" l="1"/>
  <c r="M223" i="3" s="1"/>
  <c r="N151" i="3"/>
  <c r="N112" i="3" s="1"/>
  <c r="N126" i="3"/>
  <c r="N164" i="3" s="1"/>
  <c r="N135" i="3"/>
  <c r="M204" i="3"/>
  <c r="M119" i="3"/>
  <c r="M305" i="3"/>
  <c r="M170" i="3" l="1"/>
  <c r="M242" i="3"/>
  <c r="M244" i="3" s="1"/>
  <c r="M165" i="3"/>
  <c r="M166" i="3" s="1"/>
  <c r="N163" i="3" s="1"/>
  <c r="N194" i="3" s="1"/>
  <c r="N196" i="3" s="1"/>
  <c r="M133" i="3"/>
  <c r="N129" i="3" s="1"/>
  <c r="M218" i="3"/>
  <c r="N114" i="3"/>
  <c r="M120" i="3"/>
  <c r="N152" i="3" l="1"/>
  <c r="N132" i="3"/>
  <c r="N169" i="3" s="1"/>
  <c r="N136" i="3"/>
  <c r="M264" i="3"/>
  <c r="N115" i="3"/>
  <c r="N118" i="3" s="1"/>
  <c r="N212" i="3"/>
  <c r="N214" i="3" s="1"/>
  <c r="M306" i="3"/>
  <c r="N294" i="3"/>
  <c r="N183" i="3"/>
  <c r="N197" i="3" l="1"/>
  <c r="N222" i="3" s="1"/>
  <c r="N127" i="3"/>
  <c r="O123" i="3" s="1"/>
  <c r="O151" i="3" s="1"/>
  <c r="N119" i="3"/>
  <c r="N120" i="3" s="1"/>
  <c r="M171" i="3"/>
  <c r="N168" i="3" s="1"/>
  <c r="M307" i="3"/>
  <c r="N198" i="3" l="1"/>
  <c r="N223" i="3" s="1"/>
  <c r="N305" i="3"/>
  <c r="O135" i="3"/>
  <c r="O126" i="3"/>
  <c r="O164" i="3" s="1"/>
  <c r="N218" i="3"/>
  <c r="O112" i="3"/>
  <c r="N184" i="3"/>
  <c r="N203" i="3" s="1"/>
  <c r="N241" i="3" s="1"/>
  <c r="N200" i="3"/>
  <c r="N202" i="3" s="1"/>
  <c r="N165" i="3" l="1"/>
  <c r="N166" i="3" s="1"/>
  <c r="O163" i="3" s="1"/>
  <c r="O194" i="3" s="1"/>
  <c r="O196" i="3" s="1"/>
  <c r="N204" i="3"/>
  <c r="N133" i="3"/>
  <c r="O129" i="3" s="1"/>
  <c r="O114" i="3"/>
  <c r="N264" i="3"/>
  <c r="N170" i="3" l="1"/>
  <c r="N242" i="3"/>
  <c r="N244" i="3" s="1"/>
  <c r="O136" i="3"/>
  <c r="O132" i="3"/>
  <c r="O169" i="3" s="1"/>
  <c r="O152" i="3"/>
  <c r="O115" i="3"/>
  <c r="O118" i="3" s="1"/>
  <c r="O212" i="3"/>
  <c r="O214" i="3" s="1"/>
  <c r="O183" i="3"/>
  <c r="O294" i="3"/>
  <c r="N306" i="3"/>
  <c r="O197" i="3" l="1"/>
  <c r="O222" i="3" s="1"/>
  <c r="O127" i="3"/>
  <c r="P123" i="3" s="1"/>
  <c r="P151" i="3" s="1"/>
  <c r="O119" i="3"/>
  <c r="O120" i="3" s="1"/>
  <c r="N307" i="3"/>
  <c r="P135" i="3" l="1"/>
  <c r="O198" i="3"/>
  <c r="O223" i="3" s="1"/>
  <c r="O305" i="3"/>
  <c r="P126" i="3"/>
  <c r="P164" i="3" s="1"/>
  <c r="O218" i="3"/>
  <c r="P112" i="3"/>
  <c r="N171" i="3"/>
  <c r="O168" i="3" s="1"/>
  <c r="O165" i="3" l="1"/>
  <c r="O166" i="3" s="1"/>
  <c r="P163" i="3" s="1"/>
  <c r="P194" i="3" s="1"/>
  <c r="P196" i="3" s="1"/>
  <c r="O306" i="3"/>
  <c r="O307" i="3" s="1"/>
  <c r="O264" i="3"/>
  <c r="P114" i="3"/>
  <c r="O184" i="3"/>
  <c r="O203" i="3" s="1"/>
  <c r="O241" i="3" s="1"/>
  <c r="O200" i="3"/>
  <c r="O202" i="3" s="1"/>
  <c r="P294" i="3" l="1"/>
  <c r="P183" i="3"/>
  <c r="P197" i="3" s="1"/>
  <c r="P222" i="3" s="1"/>
  <c r="O204" i="3"/>
  <c r="P127" i="3"/>
  <c r="Q123" i="3" s="1"/>
  <c r="Q135" i="3" s="1"/>
  <c r="O133" i="3"/>
  <c r="P129" i="3" s="1"/>
  <c r="P115" i="3"/>
  <c r="P118" i="3" s="1"/>
  <c r="P212" i="3"/>
  <c r="P214" i="3" s="1"/>
  <c r="O170" i="3" l="1"/>
  <c r="O171" i="3" s="1"/>
  <c r="P168" i="3" s="1"/>
  <c r="P184" i="3" s="1"/>
  <c r="P203" i="3" s="1"/>
  <c r="P241" i="3" s="1"/>
  <c r="O242" i="3"/>
  <c r="O244" i="3" s="1"/>
  <c r="P198" i="3"/>
  <c r="P223" i="3" s="1"/>
  <c r="P305" i="3"/>
  <c r="P136" i="3"/>
  <c r="P132" i="3"/>
  <c r="P169" i="3" s="1"/>
  <c r="Q126" i="3"/>
  <c r="Q164" i="3" s="1"/>
  <c r="Q151" i="3"/>
  <c r="Q112" i="3" s="1"/>
  <c r="P152" i="3"/>
  <c r="P119" i="3"/>
  <c r="P120" i="3" s="1"/>
  <c r="P200" i="3" l="1"/>
  <c r="P202" i="3" s="1"/>
  <c r="P204" i="3" s="1"/>
  <c r="P165" i="3"/>
  <c r="P166" i="3" s="1"/>
  <c r="Q163" i="3" s="1"/>
  <c r="Q194" i="3" s="1"/>
  <c r="Q196" i="3" s="1"/>
  <c r="P306" i="3"/>
  <c r="P307" i="3" s="1"/>
  <c r="P218" i="3"/>
  <c r="Q114" i="3"/>
  <c r="P170" i="3" l="1"/>
  <c r="P171" i="3" s="1"/>
  <c r="Q168" i="3" s="1"/>
  <c r="Q200" i="3" s="1"/>
  <c r="Q202" i="3" s="1"/>
  <c r="P242" i="3"/>
  <c r="P244" i="3" s="1"/>
  <c r="Q183" i="3"/>
  <c r="Q197" i="3" s="1"/>
  <c r="Q222" i="3" s="1"/>
  <c r="Q294" i="3"/>
  <c r="Q127" i="3"/>
  <c r="R123" i="3" s="1"/>
  <c r="R151" i="3" s="1"/>
  <c r="R112" i="3" s="1"/>
  <c r="R114" i="3" s="1"/>
  <c r="P133" i="3"/>
  <c r="Q129" i="3" s="1"/>
  <c r="Q132" i="3" s="1"/>
  <c r="P264" i="3"/>
  <c r="Q115" i="3"/>
  <c r="Q118" i="3" s="1"/>
  <c r="Q212" i="3"/>
  <c r="Q214" i="3" s="1"/>
  <c r="R135" i="3" l="1"/>
  <c r="Q198" i="3"/>
  <c r="Q223" i="3" s="1"/>
  <c r="Q305" i="3"/>
  <c r="R126" i="3"/>
  <c r="R164" i="3" s="1"/>
  <c r="Q184" i="3"/>
  <c r="Q203" i="3" s="1"/>
  <c r="Q169" i="3"/>
  <c r="Q152" i="3"/>
  <c r="Q136" i="3"/>
  <c r="R115" i="3"/>
  <c r="R118" i="3" s="1"/>
  <c r="R212" i="3"/>
  <c r="R214" i="3" s="1"/>
  <c r="Q119" i="3"/>
  <c r="Q204" i="3" l="1"/>
  <c r="Q241" i="3"/>
  <c r="Q165" i="3"/>
  <c r="Q166" i="3" s="1"/>
  <c r="R163" i="3" s="1"/>
  <c r="R194" i="3" s="1"/>
  <c r="R196" i="3" s="1"/>
  <c r="Q306" i="3"/>
  <c r="Q307" i="3" s="1"/>
  <c r="Q133" i="3"/>
  <c r="R129" i="3" s="1"/>
  <c r="R119" i="3"/>
  <c r="R218" i="3" s="1"/>
  <c r="R264" i="3" s="1"/>
  <c r="Q218" i="3"/>
  <c r="Q120" i="3"/>
  <c r="Q170" i="3" l="1"/>
  <c r="Q171" i="3" s="1"/>
  <c r="R168" i="3" s="1"/>
  <c r="R184" i="3" s="1"/>
  <c r="R203" i="3" s="1"/>
  <c r="R241" i="3" s="1"/>
  <c r="Q242" i="3"/>
  <c r="Q244" i="3" s="1"/>
  <c r="R183" i="3"/>
  <c r="R197" i="3" s="1"/>
  <c r="R222" i="3" s="1"/>
  <c r="R294" i="3"/>
  <c r="R120" i="3"/>
  <c r="R152" i="3"/>
  <c r="R132" i="3"/>
  <c r="R169" i="3" s="1"/>
  <c r="R127" i="3"/>
  <c r="S123" i="3" s="1"/>
  <c r="S135" i="3" s="1"/>
  <c r="R136" i="3"/>
  <c r="Q264" i="3"/>
  <c r="R200" i="3" l="1"/>
  <c r="R202" i="3" s="1"/>
  <c r="R204" i="3" s="1"/>
  <c r="R198" i="3"/>
  <c r="R223" i="3" s="1"/>
  <c r="S151" i="3"/>
  <c r="S112" i="3" s="1"/>
  <c r="S114" i="3" s="1"/>
  <c r="S115" i="3" s="1"/>
  <c r="S118" i="3" s="1"/>
  <c r="S126" i="3"/>
  <c r="S164" i="3" s="1"/>
  <c r="R305" i="3"/>
  <c r="R170" i="3" l="1"/>
  <c r="R171" i="3" s="1"/>
  <c r="S168" i="3" s="1"/>
  <c r="S200" i="3" s="1"/>
  <c r="S202" i="3" s="1"/>
  <c r="R242" i="3"/>
  <c r="R244" i="3" s="1"/>
  <c r="R165" i="3"/>
  <c r="R166" i="3" s="1"/>
  <c r="S163" i="3" s="1"/>
  <c r="S194" i="3" s="1"/>
  <c r="S196" i="3" s="1"/>
  <c r="R306" i="3"/>
  <c r="R307" i="3" s="1"/>
  <c r="S212" i="3"/>
  <c r="S214" i="3" s="1"/>
  <c r="R133" i="3"/>
  <c r="S129" i="3" s="1"/>
  <c r="S132" i="3" s="1"/>
  <c r="S119" i="3"/>
  <c r="S218" i="3" s="1"/>
  <c r="S264" i="3" s="1"/>
  <c r="S183" i="3" l="1"/>
  <c r="S197" i="3" s="1"/>
  <c r="S222" i="3" s="1"/>
  <c r="S294" i="3"/>
  <c r="S184" i="3"/>
  <c r="S203" i="3" s="1"/>
  <c r="S120" i="3"/>
  <c r="S127" i="3"/>
  <c r="T123" i="3" s="1"/>
  <c r="S152" i="3"/>
  <c r="S169" i="3"/>
  <c r="S136" i="3"/>
  <c r="S204" i="3" l="1"/>
  <c r="S241" i="3"/>
  <c r="S198" i="3"/>
  <c r="S223" i="3" s="1"/>
  <c r="S305" i="3"/>
  <c r="T135" i="3"/>
  <c r="T126" i="3"/>
  <c r="T164" i="3" s="1"/>
  <c r="T151" i="3"/>
  <c r="T112" i="3" s="1"/>
  <c r="T114" i="3" s="1"/>
  <c r="T115" i="3" s="1"/>
  <c r="T118" i="3" s="1"/>
  <c r="S133" i="3"/>
  <c r="T129" i="3" s="1"/>
  <c r="T132" i="3" s="1"/>
  <c r="S170" i="3" l="1"/>
  <c r="S171" i="3" s="1"/>
  <c r="T168" i="3" s="1"/>
  <c r="T200" i="3" s="1"/>
  <c r="T202" i="3" s="1"/>
  <c r="S242" i="3"/>
  <c r="S244" i="3" s="1"/>
  <c r="S165" i="3"/>
  <c r="S166" i="3" s="1"/>
  <c r="T163" i="3" s="1"/>
  <c r="T194" i="3" s="1"/>
  <c r="T196" i="3" s="1"/>
  <c r="S306" i="3"/>
  <c r="S307" i="3" s="1"/>
  <c r="T212" i="3"/>
  <c r="T214" i="3" s="1"/>
  <c r="T152" i="3"/>
  <c r="T169" i="3"/>
  <c r="T136" i="3"/>
  <c r="T119" i="3"/>
  <c r="T218" i="3" s="1"/>
  <c r="T264" i="3" s="1"/>
  <c r="T184" i="3" l="1"/>
  <c r="T203" i="3" s="1"/>
  <c r="T241" i="3" s="1"/>
  <c r="T183" i="3"/>
  <c r="T197" i="3" s="1"/>
  <c r="T222" i="3" s="1"/>
  <c r="T294" i="3"/>
  <c r="T127" i="3"/>
  <c r="U123" i="3" s="1"/>
  <c r="U151" i="3" s="1"/>
  <c r="U112" i="3" s="1"/>
  <c r="U114" i="3" s="1"/>
  <c r="T120" i="3"/>
  <c r="T204" i="3" l="1"/>
  <c r="T242" i="3" s="1"/>
  <c r="T244" i="3" s="1"/>
  <c r="U135" i="3"/>
  <c r="T198" i="3"/>
  <c r="T223" i="3" s="1"/>
  <c r="U126" i="3"/>
  <c r="U164" i="3" s="1"/>
  <c r="T133" i="3"/>
  <c r="U129" i="3" s="1"/>
  <c r="U115" i="3"/>
  <c r="U118" i="3" s="1"/>
  <c r="U212" i="3"/>
  <c r="U214" i="3" s="1"/>
  <c r="T305" i="3"/>
  <c r="T170" i="3" l="1"/>
  <c r="T171" i="3" s="1"/>
  <c r="U168" i="3" s="1"/>
  <c r="U184" i="3" s="1"/>
  <c r="U203" i="3" s="1"/>
  <c r="U241" i="3" s="1"/>
  <c r="T165" i="3"/>
  <c r="T166" i="3" s="1"/>
  <c r="U163" i="3" s="1"/>
  <c r="U194" i="3" s="1"/>
  <c r="U196" i="3" s="1"/>
  <c r="T306" i="3"/>
  <c r="T307" i="3" s="1"/>
  <c r="U136" i="3"/>
  <c r="U132" i="3"/>
  <c r="U169" i="3" s="1"/>
  <c r="U152" i="3"/>
  <c r="U119" i="3"/>
  <c r="U218" i="3" s="1"/>
  <c r="U264" i="3" s="1"/>
  <c r="U183" i="3" l="1"/>
  <c r="U197" i="3" s="1"/>
  <c r="U222" i="3" s="1"/>
  <c r="U200" i="3"/>
  <c r="U202" i="3" s="1"/>
  <c r="U204" i="3" s="1"/>
  <c r="U294" i="3"/>
  <c r="U133" i="3"/>
  <c r="V129" i="3" s="1"/>
  <c r="V152" i="3" s="1"/>
  <c r="U120" i="3"/>
  <c r="U127" i="3"/>
  <c r="V123" i="3" s="1"/>
  <c r="U170" i="3" l="1"/>
  <c r="U171" i="3" s="1"/>
  <c r="V168" i="3" s="1"/>
  <c r="V200" i="3" s="1"/>
  <c r="V202" i="3" s="1"/>
  <c r="U242" i="3"/>
  <c r="U244" i="3" s="1"/>
  <c r="U198" i="3"/>
  <c r="U223" i="3" s="1"/>
  <c r="U305" i="3"/>
  <c r="V132" i="3"/>
  <c r="V169" i="3" s="1"/>
  <c r="V136" i="3"/>
  <c r="V126" i="3"/>
  <c r="V164" i="3" s="1"/>
  <c r="V135" i="3"/>
  <c r="V151" i="3"/>
  <c r="V112" i="3" s="1"/>
  <c r="V114" i="3" s="1"/>
  <c r="V212" i="3" s="1"/>
  <c r="V214" i="3" s="1"/>
  <c r="V184" i="3" l="1"/>
  <c r="V203" i="3" s="1"/>
  <c r="V204" i="3" s="1"/>
  <c r="U165" i="3"/>
  <c r="U166" i="3" s="1"/>
  <c r="V163" i="3" s="1"/>
  <c r="V194" i="3" s="1"/>
  <c r="V196" i="3" s="1"/>
  <c r="U306" i="3"/>
  <c r="U307" i="3" s="1"/>
  <c r="V133" i="3"/>
  <c r="W129" i="3" s="1"/>
  <c r="W132" i="3" s="1"/>
  <c r="W169" i="3" s="1"/>
  <c r="V115" i="3"/>
  <c r="V118" i="3" s="1"/>
  <c r="V119" i="3" s="1"/>
  <c r="V218" i="3" s="1"/>
  <c r="V264" i="3" s="1"/>
  <c r="V242" i="3" l="1"/>
  <c r="V170" i="3"/>
  <c r="V171" i="3" s="1"/>
  <c r="W168" i="3" s="1"/>
  <c r="W184" i="3" s="1"/>
  <c r="W203" i="3" s="1"/>
  <c r="W241" i="3" s="1"/>
  <c r="V241" i="3"/>
  <c r="V183" i="3"/>
  <c r="V197" i="3" s="1"/>
  <c r="V222" i="3" s="1"/>
  <c r="V294" i="3"/>
  <c r="W136" i="3"/>
  <c r="W152" i="3"/>
  <c r="V120" i="3"/>
  <c r="V127" i="3"/>
  <c r="W123" i="3" s="1"/>
  <c r="W135" i="3" s="1"/>
  <c r="W133" i="3"/>
  <c r="X129" i="3" s="1"/>
  <c r="X132" i="3" s="1"/>
  <c r="W200" i="3" l="1"/>
  <c r="W202" i="3" s="1"/>
  <c r="V244" i="3"/>
  <c r="V198" i="3"/>
  <c r="V223" i="3" s="1"/>
  <c r="V305" i="3"/>
  <c r="W151" i="3"/>
  <c r="W112" i="3" s="1"/>
  <c r="W114" i="3" s="1"/>
  <c r="W212" i="3" s="1"/>
  <c r="W214" i="3" s="1"/>
  <c r="W126" i="3"/>
  <c r="W164" i="3" s="1"/>
  <c r="X152" i="3"/>
  <c r="X136" i="3"/>
  <c r="X169" i="3"/>
  <c r="W204" i="3" l="1"/>
  <c r="V165" i="3"/>
  <c r="V166" i="3" s="1"/>
  <c r="W163" i="3" s="1"/>
  <c r="W194" i="3" s="1"/>
  <c r="W196" i="3" s="1"/>
  <c r="V306" i="3"/>
  <c r="V307" i="3" s="1"/>
  <c r="W115" i="3"/>
  <c r="W118" i="3" s="1"/>
  <c r="W119" i="3" s="1"/>
  <c r="W218" i="3" s="1"/>
  <c r="W264" i="3" s="1"/>
  <c r="X133" i="3"/>
  <c r="Y129" i="3" s="1"/>
  <c r="W242" i="3" l="1"/>
  <c r="W244" i="3" s="1"/>
  <c r="W170" i="3"/>
  <c r="W171" i="3" s="1"/>
  <c r="X168" i="3" s="1"/>
  <c r="W294" i="3"/>
  <c r="W183" i="3"/>
  <c r="W197" i="3" s="1"/>
  <c r="W222" i="3" s="1"/>
  <c r="Y136" i="3"/>
  <c r="Y132" i="3"/>
  <c r="Y169" i="3" s="1"/>
  <c r="W127" i="3"/>
  <c r="X123" i="3" s="1"/>
  <c r="Y152" i="3"/>
  <c r="W120" i="3"/>
  <c r="X200" i="3" l="1"/>
  <c r="X202" i="3" s="1"/>
  <c r="X184" i="3"/>
  <c r="X203" i="3" s="1"/>
  <c r="X241" i="3" s="1"/>
  <c r="W198" i="3"/>
  <c r="W223" i="3" s="1"/>
  <c r="W305" i="3"/>
  <c r="X135" i="3"/>
  <c r="X126" i="3"/>
  <c r="X164" i="3" s="1"/>
  <c r="Y133" i="3"/>
  <c r="Z129" i="3" s="1"/>
  <c r="X151" i="3"/>
  <c r="X112" i="3" s="1"/>
  <c r="X114" i="3" s="1"/>
  <c r="X115" i="3" s="1"/>
  <c r="X118" i="3" s="1"/>
  <c r="X204" i="3" l="1"/>
  <c r="W165" i="3"/>
  <c r="W166" i="3" s="1"/>
  <c r="X163" i="3" s="1"/>
  <c r="X194" i="3" s="1"/>
  <c r="X196" i="3" s="1"/>
  <c r="W306" i="3"/>
  <c r="W307" i="3" s="1"/>
  <c r="Z152" i="3"/>
  <c r="Z132" i="3"/>
  <c r="Z169" i="3" s="1"/>
  <c r="X212" i="3"/>
  <c r="X214" i="3" s="1"/>
  <c r="Z136" i="3"/>
  <c r="X119" i="3"/>
  <c r="X218" i="3" s="1"/>
  <c r="X264" i="3" s="1"/>
  <c r="X242" i="3" l="1"/>
  <c r="X244" i="3" s="1"/>
  <c r="X170" i="3"/>
  <c r="X171" i="3" s="1"/>
  <c r="Y168" i="3" s="1"/>
  <c r="X294" i="3"/>
  <c r="X183" i="3"/>
  <c r="X197" i="3" s="1"/>
  <c r="X222" i="3" s="1"/>
  <c r="Z133" i="3"/>
  <c r="AA129" i="3" s="1"/>
  <c r="X127" i="3"/>
  <c r="Y123" i="3" s="1"/>
  <c r="X120" i="3"/>
  <c r="Y184" i="3" l="1"/>
  <c r="Y203" i="3" s="1"/>
  <c r="Y241" i="3" s="1"/>
  <c r="Y200" i="3"/>
  <c r="Y202" i="3" s="1"/>
  <c r="X198" i="3"/>
  <c r="X223" i="3" s="1"/>
  <c r="AA132" i="3"/>
  <c r="AA169" i="3" s="1"/>
  <c r="Y135" i="3"/>
  <c r="Y124" i="3" s="1"/>
  <c r="Y126" i="3" s="1"/>
  <c r="Y164" i="3" s="1"/>
  <c r="Y151" i="3"/>
  <c r="Y112" i="3" s="1"/>
  <c r="Y114" i="3" s="1"/>
  <c r="Y115" i="3" s="1"/>
  <c r="Y118" i="3" s="1"/>
  <c r="AA136" i="3"/>
  <c r="AA152" i="3"/>
  <c r="X305" i="3"/>
  <c r="Y204" i="3" l="1"/>
  <c r="X165" i="3"/>
  <c r="X166" i="3" s="1"/>
  <c r="Y163" i="3" s="1"/>
  <c r="Y194" i="3" s="1"/>
  <c r="Y196" i="3" s="1"/>
  <c r="X306" i="3"/>
  <c r="X307" i="3" s="1"/>
  <c r="AA133" i="3"/>
  <c r="AB129" i="3" s="1"/>
  <c r="AB132" i="3" s="1"/>
  <c r="Y217" i="3"/>
  <c r="Y212" i="3"/>
  <c r="Y214" i="3" s="1"/>
  <c r="Y119" i="3"/>
  <c r="Y218" i="3" s="1"/>
  <c r="Y264" i="3" s="1"/>
  <c r="Y242" i="3" l="1"/>
  <c r="Y244" i="3" s="1"/>
  <c r="Y170" i="3"/>
  <c r="Y171" i="3" s="1"/>
  <c r="Z168" i="3" s="1"/>
  <c r="Y294" i="3"/>
  <c r="Y183" i="3"/>
  <c r="Y197" i="3" s="1"/>
  <c r="Y222" i="3" s="1"/>
  <c r="C16" i="7" s="1"/>
  <c r="AB136" i="3"/>
  <c r="AB152" i="3"/>
  <c r="AB169" i="3"/>
  <c r="AB133" i="3"/>
  <c r="AC129" i="3" s="1"/>
  <c r="AC132" i="3" s="1"/>
  <c r="Y127" i="3"/>
  <c r="Z123" i="3" s="1"/>
  <c r="Y120" i="3"/>
  <c r="Z200" i="3" l="1"/>
  <c r="Z202" i="3" s="1"/>
  <c r="Z184" i="3"/>
  <c r="Z203" i="3" s="1"/>
  <c r="Z241" i="3" s="1"/>
  <c r="Y198" i="3"/>
  <c r="Y223" i="3" s="1"/>
  <c r="Z151" i="3"/>
  <c r="Z112" i="3" s="1"/>
  <c r="Z114" i="3" s="1"/>
  <c r="Z115" i="3" s="1"/>
  <c r="Z220" i="3" s="1"/>
  <c r="Z126" i="3"/>
  <c r="Z164" i="3" s="1"/>
  <c r="AC152" i="3"/>
  <c r="AC136" i="3"/>
  <c r="Z135" i="3"/>
  <c r="Y305" i="3"/>
  <c r="Z204" i="3" l="1"/>
  <c r="Y165" i="3"/>
  <c r="Y166" i="3" s="1"/>
  <c r="Z163" i="3" s="1"/>
  <c r="Z194" i="3" s="1"/>
  <c r="Y306" i="3"/>
  <c r="Y307" i="3" s="1"/>
  <c r="Z212" i="3"/>
  <c r="Z214" i="3" s="1"/>
  <c r="Z127" i="3"/>
  <c r="AA123" i="3" s="1"/>
  <c r="AA151" i="3" s="1"/>
  <c r="AA112" i="3" s="1"/>
  <c r="AA114" i="3" s="1"/>
  <c r="AA212" i="3" s="1"/>
  <c r="AA214" i="3" s="1"/>
  <c r="AC169" i="3"/>
  <c r="AC133" i="3"/>
  <c r="AD129" i="3" s="1"/>
  <c r="AD132" i="3" s="1"/>
  <c r="Z118" i="3"/>
  <c r="Z242" i="3" l="1"/>
  <c r="Z244" i="3" s="1"/>
  <c r="Z170" i="3"/>
  <c r="Z171" i="3" s="1"/>
  <c r="AA168" i="3" s="1"/>
  <c r="Z183" i="3"/>
  <c r="Z294" i="3"/>
  <c r="AA135" i="3"/>
  <c r="AA115" i="3"/>
  <c r="AA220" i="3" s="1"/>
  <c r="AA126" i="3"/>
  <c r="AA164" i="3" s="1"/>
  <c r="AD136" i="3"/>
  <c r="AD152" i="3"/>
  <c r="Z119" i="3"/>
  <c r="Z218" i="3" s="1"/>
  <c r="Z264" i="3" s="1"/>
  <c r="AA200" i="3" l="1"/>
  <c r="AA202" i="3" s="1"/>
  <c r="AA184" i="3"/>
  <c r="AA203" i="3" s="1"/>
  <c r="AA241" i="3" s="1"/>
  <c r="AA118" i="3"/>
  <c r="AA119" i="3" s="1"/>
  <c r="AA218" i="3" s="1"/>
  <c r="AA264" i="3" s="1"/>
  <c r="AA127" i="3"/>
  <c r="AB123" i="3" s="1"/>
  <c r="AB126" i="3" s="1"/>
  <c r="AB164" i="3" s="1"/>
  <c r="AD169" i="3"/>
  <c r="AD133" i="3"/>
  <c r="AE129" i="3" s="1"/>
  <c r="AE132" i="3" s="1"/>
  <c r="Z120" i="3"/>
  <c r="Z306" i="3"/>
  <c r="Z166" i="3"/>
  <c r="AA163" i="3" s="1"/>
  <c r="AA194" i="3" s="1"/>
  <c r="Z305" i="3"/>
  <c r="AA204" i="3" l="1"/>
  <c r="E202" i="3"/>
  <c r="AB127" i="3"/>
  <c r="AC123" i="3" s="1"/>
  <c r="AC126" i="3" s="1"/>
  <c r="AC164" i="3" s="1"/>
  <c r="AB151" i="3"/>
  <c r="AB112" i="3" s="1"/>
  <c r="AB114" i="3" s="1"/>
  <c r="AB115" i="3" s="1"/>
  <c r="AB220" i="3" s="1"/>
  <c r="AA120" i="3"/>
  <c r="AB135" i="3"/>
  <c r="AE152" i="3"/>
  <c r="AE136" i="3"/>
  <c r="AE169" i="3"/>
  <c r="Z307" i="3"/>
  <c r="AA294" i="3"/>
  <c r="AA183" i="3"/>
  <c r="AA242" i="3" l="1"/>
  <c r="AA244" i="3" s="1"/>
  <c r="AA170" i="3"/>
  <c r="AA171" i="3" s="1"/>
  <c r="AB168" i="3" s="1"/>
  <c r="AC151" i="3"/>
  <c r="AC112" i="3" s="1"/>
  <c r="AC114" i="3" s="1"/>
  <c r="AC212" i="3" s="1"/>
  <c r="AC214" i="3" s="1"/>
  <c r="AC135" i="3"/>
  <c r="AB118" i="3"/>
  <c r="AB119" i="3" s="1"/>
  <c r="AB218" i="3" s="1"/>
  <c r="AB264" i="3" s="1"/>
  <c r="AC127" i="3"/>
  <c r="AD123" i="3" s="1"/>
  <c r="AD126" i="3" s="1"/>
  <c r="AD164" i="3" s="1"/>
  <c r="AB212" i="3"/>
  <c r="AB214" i="3" s="1"/>
  <c r="AE133" i="3"/>
  <c r="AF129" i="3" s="1"/>
  <c r="AF152" i="3" s="1"/>
  <c r="AB200" i="3" l="1"/>
  <c r="AB184" i="3"/>
  <c r="AB203" i="3" s="1"/>
  <c r="AB241" i="3" s="1"/>
  <c r="AB244" i="3" s="1"/>
  <c r="AB171" i="3"/>
  <c r="AC168" i="3" s="1"/>
  <c r="AC115" i="3"/>
  <c r="AC220" i="3" s="1"/>
  <c r="AD151" i="3"/>
  <c r="AD112" i="3" s="1"/>
  <c r="AD114" i="3" s="1"/>
  <c r="AD212" i="3" s="1"/>
  <c r="AD214" i="3" s="1"/>
  <c r="AD135" i="3"/>
  <c r="AD127" i="3"/>
  <c r="AE123" i="3" s="1"/>
  <c r="AE126" i="3" s="1"/>
  <c r="AE164" i="3" s="1"/>
  <c r="AF136" i="3"/>
  <c r="AF132" i="3"/>
  <c r="AF133" i="3" s="1"/>
  <c r="AG129" i="3" s="1"/>
  <c r="AB120" i="3"/>
  <c r="AA305" i="3"/>
  <c r="AA306" i="3"/>
  <c r="AA166" i="3"/>
  <c r="AB163" i="3" s="1"/>
  <c r="AB194" i="3" s="1"/>
  <c r="AC200" i="3" l="1"/>
  <c r="AC184" i="3"/>
  <c r="AC203" i="3" s="1"/>
  <c r="AC241" i="3" s="1"/>
  <c r="AC244" i="3" s="1"/>
  <c r="AC171" i="3"/>
  <c r="AD168" i="3" s="1"/>
  <c r="AC118" i="3"/>
  <c r="AC119" i="3" s="1"/>
  <c r="AC218" i="3" s="1"/>
  <c r="AC264" i="3" s="1"/>
  <c r="AE135" i="3"/>
  <c r="AD115" i="3"/>
  <c r="AD220" i="3" s="1"/>
  <c r="AE151" i="3"/>
  <c r="AE112" i="3" s="1"/>
  <c r="AE114" i="3" s="1"/>
  <c r="AE212" i="3" s="1"/>
  <c r="AE214" i="3" s="1"/>
  <c r="AF169" i="3"/>
  <c r="AG152" i="3"/>
  <c r="AG132" i="3"/>
  <c r="AG169" i="3" s="1"/>
  <c r="AG136" i="3"/>
  <c r="AE127" i="3"/>
  <c r="AF123" i="3" s="1"/>
  <c r="E131" i="3"/>
  <c r="AA307" i="3"/>
  <c r="AB183" i="3"/>
  <c r="AB294" i="3"/>
  <c r="AD200" i="3" l="1"/>
  <c r="AD184" i="3"/>
  <c r="AD203" i="3" s="1"/>
  <c r="AD241" i="3" s="1"/>
  <c r="AD244" i="3" s="1"/>
  <c r="AD171" i="3"/>
  <c r="AE168" i="3" s="1"/>
  <c r="AC120" i="3"/>
  <c r="AD118" i="3"/>
  <c r="AD119" i="3" s="1"/>
  <c r="AD218" i="3" s="1"/>
  <c r="AD264" i="3" s="1"/>
  <c r="AE115" i="3"/>
  <c r="AE220" i="3" s="1"/>
  <c r="AF151" i="3"/>
  <c r="AF112" i="3" s="1"/>
  <c r="AF114" i="3" s="1"/>
  <c r="AF212" i="3" s="1"/>
  <c r="AF214" i="3" s="1"/>
  <c r="AG133" i="3"/>
  <c r="AH129" i="3" s="1"/>
  <c r="AF135" i="3"/>
  <c r="AF124" i="3" s="1"/>
  <c r="AF217" i="3" s="1"/>
  <c r="E217" i="3" s="1"/>
  <c r="AE184" i="3" l="1"/>
  <c r="AE203" i="3" s="1"/>
  <c r="AE241" i="3" s="1"/>
  <c r="AE244" i="3" s="1"/>
  <c r="AE200" i="3"/>
  <c r="AE171" i="3"/>
  <c r="AF168" i="3" s="1"/>
  <c r="AD120" i="3"/>
  <c r="AE118" i="3"/>
  <c r="AE119" i="3" s="1"/>
  <c r="AE218" i="3" s="1"/>
  <c r="AE264" i="3" s="1"/>
  <c r="AF115" i="3"/>
  <c r="AF220" i="3" s="1"/>
  <c r="AF126" i="3"/>
  <c r="AF164" i="3" s="1"/>
  <c r="AH132" i="3"/>
  <c r="AH169" i="3" s="1"/>
  <c r="AH152" i="3"/>
  <c r="AH136" i="3"/>
  <c r="E124" i="3"/>
  <c r="AB306" i="3"/>
  <c r="AB166" i="3"/>
  <c r="AC163" i="3" s="1"/>
  <c r="AC194" i="3" s="1"/>
  <c r="AB305" i="3"/>
  <c r="AF200" i="3" l="1"/>
  <c r="AF184" i="3"/>
  <c r="AF203" i="3" s="1"/>
  <c r="AF241" i="3" s="1"/>
  <c r="AF244" i="3" s="1"/>
  <c r="AF171" i="3"/>
  <c r="AG168" i="3" s="1"/>
  <c r="AF118" i="3"/>
  <c r="AF119" i="3" s="1"/>
  <c r="AF218" i="3" s="1"/>
  <c r="AF264" i="3" s="1"/>
  <c r="AH133" i="3"/>
  <c r="AI129" i="3" s="1"/>
  <c r="AI136" i="3" s="1"/>
  <c r="AF127" i="3"/>
  <c r="AG123" i="3" s="1"/>
  <c r="AG126" i="3" s="1"/>
  <c r="AE120" i="3"/>
  <c r="AB307" i="3"/>
  <c r="AC294" i="3"/>
  <c r="AC183" i="3"/>
  <c r="AG184" i="3" l="1"/>
  <c r="AG203" i="3" s="1"/>
  <c r="AG241" i="3" s="1"/>
  <c r="AG244" i="3" s="1"/>
  <c r="AG200" i="3"/>
  <c r="AG171" i="3"/>
  <c r="AH168" i="3" s="1"/>
  <c r="AF120" i="3"/>
  <c r="AI132" i="3"/>
  <c r="AI169" i="3" s="1"/>
  <c r="AI152" i="3"/>
  <c r="AG151" i="3"/>
  <c r="AG112" i="3" s="1"/>
  <c r="AG114" i="3" s="1"/>
  <c r="AG212" i="3" s="1"/>
  <c r="AG214" i="3" s="1"/>
  <c r="AG164" i="3"/>
  <c r="AG135" i="3"/>
  <c r="AH184" i="3" l="1"/>
  <c r="AH203" i="3" s="1"/>
  <c r="AH241" i="3" s="1"/>
  <c r="AH244" i="3" s="1"/>
  <c r="AH200" i="3"/>
  <c r="AI133" i="3"/>
  <c r="AJ129" i="3" s="1"/>
  <c r="AJ152" i="3" s="1"/>
  <c r="AG115" i="3"/>
  <c r="AG220" i="3" s="1"/>
  <c r="AG127" i="3"/>
  <c r="AH123" i="3" s="1"/>
  <c r="AH126" i="3" s="1"/>
  <c r="AH171" i="3"/>
  <c r="AI168" i="3" s="1"/>
  <c r="AC306" i="3"/>
  <c r="AC166" i="3"/>
  <c r="AD163" i="3" s="1"/>
  <c r="AD194" i="3" s="1"/>
  <c r="AC305" i="3"/>
  <c r="AJ132" i="3" l="1"/>
  <c r="AJ136" i="3"/>
  <c r="AG118" i="3"/>
  <c r="AG119" i="3" s="1"/>
  <c r="AG218" i="3" s="1"/>
  <c r="AG264" i="3" s="1"/>
  <c r="AH135" i="3"/>
  <c r="AH151" i="3"/>
  <c r="AH112" i="3" s="1"/>
  <c r="AH114" i="3" s="1"/>
  <c r="AH164" i="3"/>
  <c r="AI200" i="3"/>
  <c r="AI184" i="3"/>
  <c r="AC307" i="3"/>
  <c r="AD294" i="3"/>
  <c r="AD183" i="3"/>
  <c r="AJ169" i="3" l="1"/>
  <c r="AJ133" i="3"/>
  <c r="AK129" i="3" s="1"/>
  <c r="AG120" i="3"/>
  <c r="AH127" i="3"/>
  <c r="AI123" i="3" s="1"/>
  <c r="AH212" i="3"/>
  <c r="AH214" i="3" s="1"/>
  <c r="AH115" i="3"/>
  <c r="AH220" i="3" s="1"/>
  <c r="AI203" i="3"/>
  <c r="AI241" i="3" s="1"/>
  <c r="AI244" i="3" s="1"/>
  <c r="AK152" i="3" l="1"/>
  <c r="AK136" i="3"/>
  <c r="AK132" i="3"/>
  <c r="AK169" i="3" s="1"/>
  <c r="AI151" i="3"/>
  <c r="AI112" i="3" s="1"/>
  <c r="AI114" i="3" s="1"/>
  <c r="AI212" i="3" s="1"/>
  <c r="AI214" i="3" s="1"/>
  <c r="AI126" i="3"/>
  <c r="AI164" i="3" s="1"/>
  <c r="AI135" i="3"/>
  <c r="AH118" i="3"/>
  <c r="AD306" i="3"/>
  <c r="AD166" i="3"/>
  <c r="AE163" i="3" s="1"/>
  <c r="AE194" i="3" s="1"/>
  <c r="AD305" i="3"/>
  <c r="AK133" i="3" l="1"/>
  <c r="AL129" i="3" s="1"/>
  <c r="AI127" i="3"/>
  <c r="AJ123" i="3" s="1"/>
  <c r="AJ135" i="3" s="1"/>
  <c r="AI115" i="3"/>
  <c r="AI220" i="3" s="1"/>
  <c r="AH119" i="3"/>
  <c r="AH218" i="3" s="1"/>
  <c r="AH264" i="3" s="1"/>
  <c r="AI171" i="3"/>
  <c r="AJ168" i="3" s="1"/>
  <c r="AD307" i="3"/>
  <c r="AE294" i="3"/>
  <c r="AE183" i="3"/>
  <c r="AL152" i="3" l="1"/>
  <c r="AL132" i="3"/>
  <c r="AL169" i="3" s="1"/>
  <c r="AL136" i="3"/>
  <c r="AJ126" i="3"/>
  <c r="AJ164" i="3" s="1"/>
  <c r="AI118" i="3"/>
  <c r="AI119" i="3" s="1"/>
  <c r="AI218" i="3" s="1"/>
  <c r="AI264" i="3" s="1"/>
  <c r="AJ151" i="3"/>
  <c r="AJ112" i="3" s="1"/>
  <c r="AJ114" i="3" s="1"/>
  <c r="AJ115" i="3" s="1"/>
  <c r="AJ220" i="3" s="1"/>
  <c r="AH120" i="3"/>
  <c r="AJ200" i="3"/>
  <c r="AJ184" i="3"/>
  <c r="AL133" i="3" l="1"/>
  <c r="AM129" i="3" s="1"/>
  <c r="AJ127" i="3"/>
  <c r="AK123" i="3" s="1"/>
  <c r="AK135" i="3" s="1"/>
  <c r="AI120" i="3"/>
  <c r="AJ212" i="3"/>
  <c r="AJ214" i="3" s="1"/>
  <c r="AJ118" i="3"/>
  <c r="AJ119" i="3" s="1"/>
  <c r="AJ218" i="3" s="1"/>
  <c r="AJ264" i="3" s="1"/>
  <c r="E125" i="3"/>
  <c r="AJ203" i="3"/>
  <c r="AJ241" i="3" s="1"/>
  <c r="AJ244" i="3" s="1"/>
  <c r="AE306" i="3"/>
  <c r="AE166" i="3"/>
  <c r="AF163" i="3" s="1"/>
  <c r="AF194" i="3" s="1"/>
  <c r="AE305" i="3"/>
  <c r="AK126" i="3" l="1"/>
  <c r="AK164" i="3" s="1"/>
  <c r="AJ120" i="3"/>
  <c r="AK151" i="3"/>
  <c r="AK112" i="3" s="1"/>
  <c r="AK114" i="3" s="1"/>
  <c r="AK212" i="3" s="1"/>
  <c r="AK214" i="3" s="1"/>
  <c r="AM136" i="3"/>
  <c r="AM152" i="3"/>
  <c r="E152" i="3" s="1"/>
  <c r="AM132" i="3"/>
  <c r="AE307" i="3"/>
  <c r="AF294" i="3"/>
  <c r="AF183" i="3"/>
  <c r="AK127" i="3" l="1"/>
  <c r="AL123" i="3" s="1"/>
  <c r="AL126" i="3" s="1"/>
  <c r="AL164" i="3" s="1"/>
  <c r="AK115" i="3"/>
  <c r="AK118" i="3" s="1"/>
  <c r="AK119" i="3" s="1"/>
  <c r="AK218" i="3" s="1"/>
  <c r="AK264" i="3" s="1"/>
  <c r="AM133" i="3"/>
  <c r="E132" i="3"/>
  <c r="AM169" i="3"/>
  <c r="E169" i="3" s="1"/>
  <c r="AJ171" i="3"/>
  <c r="AK168" i="3" s="1"/>
  <c r="AL127" i="3" l="1"/>
  <c r="AM123" i="3" s="1"/>
  <c r="AM126" i="3" s="1"/>
  <c r="AL151" i="3"/>
  <c r="AL112" i="3" s="1"/>
  <c r="AL114" i="3" s="1"/>
  <c r="AL135" i="3"/>
  <c r="AK220" i="3"/>
  <c r="AK120" i="3"/>
  <c r="AK200" i="3"/>
  <c r="AK184" i="3"/>
  <c r="AF306" i="3"/>
  <c r="AF166" i="3"/>
  <c r="AG163" i="3" s="1"/>
  <c r="AG194" i="3" s="1"/>
  <c r="AF305" i="3"/>
  <c r="AM151" i="3" l="1"/>
  <c r="E151" i="3" s="1"/>
  <c r="AM135" i="3"/>
  <c r="AM164" i="3"/>
  <c r="E164" i="3" s="1"/>
  <c r="E126" i="3"/>
  <c r="AL115" i="3"/>
  <c r="AL212" i="3"/>
  <c r="AL214" i="3" s="1"/>
  <c r="AM127" i="3"/>
  <c r="AK203" i="3"/>
  <c r="AK241" i="3" s="1"/>
  <c r="AK244" i="3" s="1"/>
  <c r="AF307" i="3"/>
  <c r="AG183" i="3"/>
  <c r="AG294" i="3"/>
  <c r="AM112" i="3" l="1"/>
  <c r="E112" i="3" s="1"/>
  <c r="AL249" i="3"/>
  <c r="AL220" i="3"/>
  <c r="AL118" i="3"/>
  <c r="AM114" i="3"/>
  <c r="C7" i="7" l="1"/>
  <c r="AM115" i="3"/>
  <c r="AM212" i="3"/>
  <c r="AM214" i="3" s="1"/>
  <c r="AL119" i="3"/>
  <c r="AL120" i="3" s="1"/>
  <c r="AK171" i="3"/>
  <c r="AL168" i="3" s="1"/>
  <c r="AG306" i="3"/>
  <c r="AG166" i="3"/>
  <c r="AH163" i="3" s="1"/>
  <c r="AH194" i="3" s="1"/>
  <c r="AG305" i="3"/>
  <c r="AL218" i="3" l="1"/>
  <c r="AM220" i="3"/>
  <c r="AM118" i="3"/>
  <c r="AL200" i="3"/>
  <c r="AL184" i="3"/>
  <c r="AG307" i="3"/>
  <c r="AH294" i="3"/>
  <c r="AH183" i="3"/>
  <c r="AM119" i="3" l="1"/>
  <c r="AL264" i="3"/>
  <c r="AL203" i="3"/>
  <c r="AL171" i="3" l="1"/>
  <c r="AM168" i="3" s="1"/>
  <c r="AM200" i="3" s="1"/>
  <c r="AL241" i="3"/>
  <c r="AL244" i="3" s="1"/>
  <c r="AM120" i="3"/>
  <c r="AM218" i="3"/>
  <c r="AH306" i="3"/>
  <c r="AH166" i="3"/>
  <c r="AI163" i="3" s="1"/>
  <c r="AI194" i="3" s="1"/>
  <c r="AH305" i="3"/>
  <c r="AM184" i="3" l="1"/>
  <c r="AM203" i="3" s="1"/>
  <c r="AM241" i="3" s="1"/>
  <c r="AM244" i="3" s="1"/>
  <c r="AM264" i="3"/>
  <c r="AH307" i="3"/>
  <c r="AI294" i="3"/>
  <c r="AI183" i="3"/>
  <c r="E184" i="3" l="1"/>
  <c r="E203" i="3"/>
  <c r="E241" i="3" s="1"/>
  <c r="C4" i="9" s="1"/>
  <c r="E204" i="3"/>
  <c r="E242" i="3" s="1"/>
  <c r="D4" i="9" s="1"/>
  <c r="E196" i="3"/>
  <c r="B4" i="9" l="1"/>
  <c r="E170" i="3"/>
  <c r="AM171" i="3"/>
  <c r="AI306" i="3"/>
  <c r="AI166" i="3"/>
  <c r="AJ163" i="3" s="1"/>
  <c r="AJ194" i="3" s="1"/>
  <c r="AI305" i="3"/>
  <c r="AI307" i="3" l="1"/>
  <c r="AJ183" i="3"/>
  <c r="AJ294" i="3"/>
  <c r="AJ305" i="3" l="1"/>
  <c r="AJ306" i="3"/>
  <c r="AJ166" i="3"/>
  <c r="AK163" i="3" s="1"/>
  <c r="AK194" i="3" s="1"/>
  <c r="AK183" i="3" l="1"/>
  <c r="AK294" i="3"/>
  <c r="AJ307" i="3"/>
  <c r="AJ310" i="3" s="1"/>
  <c r="AJ313" i="3" s="1"/>
  <c r="AK306" i="3" l="1"/>
  <c r="AK166" i="3"/>
  <c r="AL163" i="3" s="1"/>
  <c r="AL194" i="3" s="1"/>
  <c r="AK305" i="3"/>
  <c r="AK307" i="3" l="1"/>
  <c r="AK310" i="3" s="1"/>
  <c r="AK313" i="3" s="1"/>
  <c r="AL183" i="3"/>
  <c r="AL294" i="3"/>
  <c r="AL306" i="3" l="1"/>
  <c r="AL166" i="3"/>
  <c r="AM163" i="3" s="1"/>
  <c r="AM194" i="3" s="1"/>
  <c r="AL305" i="3"/>
  <c r="AL307" i="3" l="1"/>
  <c r="AL310" i="3" s="1"/>
  <c r="AL313" i="3" s="1"/>
  <c r="AM183" i="3"/>
  <c r="AM294" i="3"/>
  <c r="AM305" i="3" l="1"/>
  <c r="C17" i="7"/>
  <c r="AM166" i="3"/>
  <c r="AM306" i="3" l="1"/>
  <c r="AM307" i="3" s="1"/>
  <c r="AM310" i="3" s="1"/>
  <c r="AM313" i="3" s="1"/>
  <c r="E183" i="3" l="1"/>
  <c r="E222" i="3" l="1"/>
  <c r="E197" i="3"/>
  <c r="E305" i="3" l="1"/>
  <c r="E198" i="3"/>
  <c r="E165" i="3" l="1"/>
  <c r="E223" i="3" l="1"/>
  <c r="E306" i="3" l="1"/>
  <c r="F249" i="3"/>
  <c r="F219" i="3"/>
  <c r="F221" i="3" s="1"/>
  <c r="F224" i="3" l="1"/>
  <c r="F289" i="3"/>
  <c r="F290" i="3" s="1"/>
  <c r="F251" i="3"/>
  <c r="F302" i="3" l="1"/>
  <c r="G219" i="3" l="1"/>
  <c r="G249" i="3"/>
  <c r="G221" i="3" l="1"/>
  <c r="G251" i="3"/>
  <c r="G289" i="3" l="1"/>
  <c r="G224" i="3"/>
  <c r="E210" i="3"/>
  <c r="N219" i="3"/>
  <c r="N220" i="3" s="1"/>
  <c r="R219" i="3"/>
  <c r="R220" i="3" s="1"/>
  <c r="V219" i="3"/>
  <c r="V220" i="3" s="1"/>
  <c r="Z219" i="3"/>
  <c r="Z221" i="3" s="1"/>
  <c r="AD219" i="3"/>
  <c r="AD221" i="3" s="1"/>
  <c r="AH219" i="3"/>
  <c r="AH221" i="3" s="1"/>
  <c r="AL219" i="3"/>
  <c r="AL221" i="3" s="1"/>
  <c r="H219" i="3"/>
  <c r="I219" i="3"/>
  <c r="I221" i="3" s="1"/>
  <c r="K219" i="3"/>
  <c r="K220" i="3" s="1"/>
  <c r="L219" i="3"/>
  <c r="L220" i="3" s="1"/>
  <c r="M219" i="3"/>
  <c r="M220" i="3" s="1"/>
  <c r="O219" i="3"/>
  <c r="O220" i="3" s="1"/>
  <c r="P219" i="3"/>
  <c r="P220" i="3" s="1"/>
  <c r="Q219" i="3"/>
  <c r="Q220" i="3" s="1"/>
  <c r="S219" i="3"/>
  <c r="S220" i="3" s="1"/>
  <c r="T219" i="3"/>
  <c r="T220" i="3" s="1"/>
  <c r="U219" i="3"/>
  <c r="U220" i="3" s="1"/>
  <c r="W219" i="3"/>
  <c r="W220" i="3" s="1"/>
  <c r="X219" i="3"/>
  <c r="X220" i="3" s="1"/>
  <c r="Y219" i="3"/>
  <c r="Y220" i="3" s="1"/>
  <c r="AA219" i="3"/>
  <c r="AA221" i="3" s="1"/>
  <c r="AB219" i="3"/>
  <c r="AB221" i="3" s="1"/>
  <c r="AC219" i="3"/>
  <c r="AC221" i="3" s="1"/>
  <c r="AE219" i="3"/>
  <c r="AE221" i="3" s="1"/>
  <c r="AF219" i="3"/>
  <c r="AF221" i="3" s="1"/>
  <c r="AG219" i="3"/>
  <c r="AG221" i="3" s="1"/>
  <c r="AI219" i="3"/>
  <c r="AI221" i="3" s="1"/>
  <c r="AJ219" i="3"/>
  <c r="AJ221" i="3" s="1"/>
  <c r="AK219" i="3"/>
  <c r="AK221" i="3" s="1"/>
  <c r="AM219" i="3"/>
  <c r="AM221" i="3" s="1"/>
  <c r="H249" i="3"/>
  <c r="I249" i="3"/>
  <c r="I251" i="3" s="1"/>
  <c r="K249" i="3"/>
  <c r="K251" i="3" s="1"/>
  <c r="L249" i="3"/>
  <c r="L251" i="3" s="1"/>
  <c r="M249" i="3"/>
  <c r="M251" i="3" s="1"/>
  <c r="O249" i="3"/>
  <c r="O251" i="3" s="1"/>
  <c r="P249" i="3"/>
  <c r="P251" i="3" s="1"/>
  <c r="Q249" i="3"/>
  <c r="Q251" i="3" s="1"/>
  <c r="S249" i="3"/>
  <c r="S251" i="3" s="1"/>
  <c r="T249" i="3"/>
  <c r="T251" i="3" s="1"/>
  <c r="U249" i="3"/>
  <c r="U251" i="3" s="1"/>
  <c r="W249" i="3"/>
  <c r="W251" i="3" s="1"/>
  <c r="X249" i="3"/>
  <c r="X251" i="3" s="1"/>
  <c r="Y249" i="3"/>
  <c r="Y251" i="3" s="1"/>
  <c r="AA249" i="3"/>
  <c r="AA251" i="3" s="1"/>
  <c r="AB249" i="3"/>
  <c r="AB251" i="3" s="1"/>
  <c r="AC249" i="3"/>
  <c r="AC251" i="3" s="1"/>
  <c r="AE249" i="3"/>
  <c r="AE251" i="3" s="1"/>
  <c r="AF249" i="3"/>
  <c r="AF251" i="3" s="1"/>
  <c r="AG249" i="3"/>
  <c r="AG251" i="3" s="1"/>
  <c r="AI249" i="3"/>
  <c r="AI251" i="3" s="1"/>
  <c r="AJ249" i="3"/>
  <c r="AJ251" i="3" s="1"/>
  <c r="AK249" i="3"/>
  <c r="AK251" i="3" s="1"/>
  <c r="AM249" i="3"/>
  <c r="AM251" i="3" s="1"/>
  <c r="AB310" i="3"/>
  <c r="AB313" i="3" s="1"/>
  <c r="AF310" i="3"/>
  <c r="AF313" i="3" s="1"/>
  <c r="AC224" i="3" l="1"/>
  <c r="AC289" i="3"/>
  <c r="M221" i="3"/>
  <c r="H221" i="3"/>
  <c r="AM289" i="3"/>
  <c r="AM224" i="3"/>
  <c r="AG224" i="3"/>
  <c r="AG289" i="3"/>
  <c r="AB289" i="3"/>
  <c r="AB290" i="3" s="1"/>
  <c r="AB224" i="3"/>
  <c r="Q221" i="3"/>
  <c r="AL289" i="3"/>
  <c r="AL224" i="3"/>
  <c r="V221" i="3"/>
  <c r="Z224" i="3"/>
  <c r="Z289" i="3"/>
  <c r="AK224" i="3"/>
  <c r="AK289" i="3"/>
  <c r="AF224" i="3"/>
  <c r="AF289" i="3"/>
  <c r="AF290" i="3" s="1"/>
  <c r="AA289" i="3"/>
  <c r="AA290" i="3" s="1"/>
  <c r="AA224" i="3"/>
  <c r="U221" i="3"/>
  <c r="AH224" i="3"/>
  <c r="AH289" i="3"/>
  <c r="R221" i="3"/>
  <c r="AI289" i="3"/>
  <c r="AI224" i="3"/>
  <c r="AJ289" i="3"/>
  <c r="AJ290" i="3" s="1"/>
  <c r="AJ224" i="3"/>
  <c r="AE289" i="3"/>
  <c r="AE290" i="3" s="1"/>
  <c r="AE224" i="3"/>
  <c r="Y221" i="3"/>
  <c r="I224" i="3"/>
  <c r="I289" i="3"/>
  <c r="AD289" i="3"/>
  <c r="AD224" i="3"/>
  <c r="N221" i="3"/>
  <c r="G302" i="3"/>
  <c r="G310" i="3" s="1"/>
  <c r="G313" i="3" s="1"/>
  <c r="G290" i="3"/>
  <c r="X221" i="3"/>
  <c r="S221" i="3"/>
  <c r="W221" i="3"/>
  <c r="L221" i="3"/>
  <c r="P221" i="3"/>
  <c r="K221" i="3"/>
  <c r="T221" i="3"/>
  <c r="O221" i="3"/>
  <c r="H251" i="3"/>
  <c r="AL251" i="3"/>
  <c r="AH249" i="3"/>
  <c r="AH251" i="3" s="1"/>
  <c r="AD249" i="3"/>
  <c r="AD251" i="3" s="1"/>
  <c r="Z249" i="3"/>
  <c r="Z251" i="3" s="1"/>
  <c r="V249" i="3"/>
  <c r="V251" i="3" s="1"/>
  <c r="R249" i="3"/>
  <c r="R251" i="3" s="1"/>
  <c r="N249" i="3"/>
  <c r="N251" i="3" s="1"/>
  <c r="AJ302" i="3" l="1"/>
  <c r="AE302" i="3"/>
  <c r="AE310" i="3" s="1"/>
  <c r="AE313" i="3" s="1"/>
  <c r="L289" i="3"/>
  <c r="L290" i="3" s="1"/>
  <c r="L224" i="3"/>
  <c r="T289" i="3"/>
  <c r="T224" i="3"/>
  <c r="W289" i="3"/>
  <c r="W302" i="3" s="1"/>
  <c r="W310" i="3" s="1"/>
  <c r="W313" i="3" s="1"/>
  <c r="W224" i="3"/>
  <c r="Q224" i="3"/>
  <c r="Q289" i="3"/>
  <c r="Q302" i="3" s="1"/>
  <c r="Q310" i="3" s="1"/>
  <c r="Q313" i="3" s="1"/>
  <c r="K289" i="3"/>
  <c r="K290" i="3" s="1"/>
  <c r="K224" i="3"/>
  <c r="S289" i="3"/>
  <c r="S302" i="3" s="1"/>
  <c r="S310" i="3" s="1"/>
  <c r="S313" i="3" s="1"/>
  <c r="S224" i="3"/>
  <c r="R224" i="3"/>
  <c r="R289" i="3"/>
  <c r="R290" i="3" s="1"/>
  <c r="U224" i="3"/>
  <c r="U289" i="3"/>
  <c r="U290" i="3" s="1"/>
  <c r="O289" i="3"/>
  <c r="O224" i="3"/>
  <c r="X224" i="3"/>
  <c r="X289" i="3"/>
  <c r="X302" i="3" s="1"/>
  <c r="X310" i="3" s="1"/>
  <c r="X313" i="3" s="1"/>
  <c r="P224" i="3"/>
  <c r="P289" i="3"/>
  <c r="P290" i="3" s="1"/>
  <c r="V289" i="3"/>
  <c r="V290" i="3" s="1"/>
  <c r="V224" i="3"/>
  <c r="M224" i="3"/>
  <c r="M289" i="3"/>
  <c r="M302" i="3" s="1"/>
  <c r="M310" i="3" s="1"/>
  <c r="M313" i="3" s="1"/>
  <c r="N224" i="3"/>
  <c r="N289" i="3"/>
  <c r="N290" i="3" s="1"/>
  <c r="Y224" i="3"/>
  <c r="Y289" i="3"/>
  <c r="Y290" i="3" s="1"/>
  <c r="H224" i="3"/>
  <c r="H289" i="3"/>
  <c r="AB302" i="3"/>
  <c r="AF302" i="3"/>
  <c r="AA302" i="3"/>
  <c r="AA310" i="3" s="1"/>
  <c r="AA313" i="3" s="1"/>
  <c r="AM290" i="3"/>
  <c r="AM291" i="3" s="1"/>
  <c r="AM296" i="3" s="1"/>
  <c r="AM297" i="3" s="1"/>
  <c r="AM302" i="3"/>
  <c r="AI290" i="3"/>
  <c r="AI302" i="3"/>
  <c r="AI310" i="3" s="1"/>
  <c r="AI313" i="3" s="1"/>
  <c r="AD290" i="3"/>
  <c r="AD302" i="3"/>
  <c r="AD310" i="3" s="1"/>
  <c r="AD313" i="3" s="1"/>
  <c r="AL290" i="3"/>
  <c r="AL302" i="3"/>
  <c r="I290" i="3"/>
  <c r="I302" i="3"/>
  <c r="I310" i="3" s="1"/>
  <c r="I313" i="3" s="1"/>
  <c r="Z290" i="3"/>
  <c r="Z302" i="3"/>
  <c r="Z310" i="3" s="1"/>
  <c r="Z313" i="3" s="1"/>
  <c r="AH290" i="3"/>
  <c r="AH302" i="3"/>
  <c r="AH310" i="3" s="1"/>
  <c r="AH313" i="3" s="1"/>
  <c r="AK290" i="3"/>
  <c r="AK302" i="3"/>
  <c r="AG290" i="3"/>
  <c r="AG302" i="3"/>
  <c r="AG310" i="3" s="1"/>
  <c r="AG313" i="3" s="1"/>
  <c r="AC290" i="3"/>
  <c r="AC302" i="3"/>
  <c r="AC310" i="3" s="1"/>
  <c r="AC313" i="3" s="1"/>
  <c r="X290" i="3" l="1"/>
  <c r="Q290" i="3"/>
  <c r="W290" i="3"/>
  <c r="M290" i="3"/>
  <c r="V302" i="3"/>
  <c r="V310" i="3" s="1"/>
  <c r="V313" i="3" s="1"/>
  <c r="R302" i="3"/>
  <c r="R310" i="3" s="1"/>
  <c r="R313" i="3" s="1"/>
  <c r="S290" i="3"/>
  <c r="N302" i="3"/>
  <c r="N310" i="3" s="1"/>
  <c r="N313" i="3" s="1"/>
  <c r="K302" i="3"/>
  <c r="K310" i="3" s="1"/>
  <c r="K313" i="3" s="1"/>
  <c r="L302" i="3"/>
  <c r="L310" i="3" s="1"/>
  <c r="L313" i="3" s="1"/>
  <c r="U302" i="3"/>
  <c r="U310" i="3" s="1"/>
  <c r="U313" i="3" s="1"/>
  <c r="Y302" i="3"/>
  <c r="Y310" i="3" s="1"/>
  <c r="Y313" i="3" s="1"/>
  <c r="O302" i="3"/>
  <c r="O310" i="3" s="1"/>
  <c r="O313" i="3" s="1"/>
  <c r="O290" i="3"/>
  <c r="T302" i="3"/>
  <c r="T310" i="3" s="1"/>
  <c r="T313" i="3" s="1"/>
  <c r="T290" i="3"/>
  <c r="H302" i="3"/>
  <c r="H310" i="3" s="1"/>
  <c r="H313" i="3" s="1"/>
  <c r="H290" i="3"/>
  <c r="P302" i="3"/>
  <c r="P310" i="3" s="1"/>
  <c r="P313" i="3" s="1"/>
  <c r="AL291" i="3"/>
  <c r="AK291" i="3" l="1"/>
  <c r="AL296" i="3"/>
  <c r="AL297" i="3" s="1"/>
  <c r="AJ291" i="3" l="1"/>
  <c r="AK296" i="3"/>
  <c r="AK297" i="3" s="1"/>
  <c r="AI291" i="3" l="1"/>
  <c r="AJ296" i="3"/>
  <c r="AJ297" i="3" s="1"/>
  <c r="AH291" i="3" l="1"/>
  <c r="AI296" i="3"/>
  <c r="AI297" i="3" s="1"/>
  <c r="AG291" i="3" l="1"/>
  <c r="AH296" i="3"/>
  <c r="AH297" i="3" s="1"/>
  <c r="AF291" i="3" l="1"/>
  <c r="AG296" i="3"/>
  <c r="AG297" i="3" s="1"/>
  <c r="AE291" i="3" l="1"/>
  <c r="AF296" i="3"/>
  <c r="AF297" i="3" s="1"/>
  <c r="AD291" i="3" l="1"/>
  <c r="AE296" i="3"/>
  <c r="AE297" i="3" s="1"/>
  <c r="AC291" i="3" l="1"/>
  <c r="AD296" i="3"/>
  <c r="AD297" i="3" s="1"/>
  <c r="AB291" i="3" l="1"/>
  <c r="AC296" i="3"/>
  <c r="AC297" i="3" s="1"/>
  <c r="AA291" i="3" l="1"/>
  <c r="AB296" i="3"/>
  <c r="AB297" i="3" s="1"/>
  <c r="Z291" i="3" l="1"/>
  <c r="AA296" i="3"/>
  <c r="AA297" i="3" s="1"/>
  <c r="Z296" i="3" l="1"/>
  <c r="Z297" i="3" s="1"/>
  <c r="Y291" i="3"/>
  <c r="X291" i="3" l="1"/>
  <c r="Y296" i="3"/>
  <c r="Y297" i="3" s="1"/>
  <c r="W291" i="3" l="1"/>
  <c r="X296" i="3"/>
  <c r="X297" i="3" s="1"/>
  <c r="V291" i="3" l="1"/>
  <c r="W296" i="3"/>
  <c r="W297" i="3" s="1"/>
  <c r="U291" i="3" l="1"/>
  <c r="V296" i="3"/>
  <c r="V297" i="3" s="1"/>
  <c r="T291" i="3" l="1"/>
  <c r="U296" i="3"/>
  <c r="U297" i="3" s="1"/>
  <c r="S291" i="3" l="1"/>
  <c r="T296" i="3"/>
  <c r="T297" i="3" s="1"/>
  <c r="R291" i="3" l="1"/>
  <c r="S296" i="3"/>
  <c r="S297" i="3" s="1"/>
  <c r="Q291" i="3" l="1"/>
  <c r="R296" i="3"/>
  <c r="R297" i="3" s="1"/>
  <c r="P291" i="3" l="1"/>
  <c r="Q296" i="3"/>
  <c r="Q297" i="3" s="1"/>
  <c r="O291" i="3" l="1"/>
  <c r="P296" i="3"/>
  <c r="P297" i="3" s="1"/>
  <c r="N291" i="3" l="1"/>
  <c r="O296" i="3"/>
  <c r="O297" i="3" s="1"/>
  <c r="M291" i="3" l="1"/>
  <c r="N296" i="3"/>
  <c r="N297" i="3" s="1"/>
  <c r="L291" i="3" l="1"/>
  <c r="M296" i="3"/>
  <c r="M297" i="3" s="1"/>
  <c r="K291" i="3" l="1"/>
  <c r="L296" i="3"/>
  <c r="L297" i="3" s="1"/>
  <c r="K296" i="3" l="1"/>
  <c r="K297" i="3" s="1"/>
  <c r="I296" i="3" l="1"/>
  <c r="I297" i="3" s="1"/>
  <c r="H296" i="3" l="1"/>
  <c r="H297" i="3" s="1"/>
  <c r="G296" i="3" l="1"/>
  <c r="G297" i="3" s="1"/>
  <c r="E110" i="3" l="1"/>
  <c r="J114" i="3"/>
  <c r="E114" i="3" s="1"/>
  <c r="J115" i="3" l="1"/>
  <c r="E115" i="3" s="1"/>
  <c r="J212" i="3"/>
  <c r="J214" i="3" s="1"/>
  <c r="J118" i="3" l="1"/>
  <c r="E118" i="3" s="1"/>
  <c r="E212" i="3"/>
  <c r="J119" i="3" l="1"/>
  <c r="J120" i="3" s="1"/>
  <c r="E120" i="3" s="1"/>
  <c r="E214" i="3"/>
  <c r="J249" i="3"/>
  <c r="E119" i="3" l="1"/>
  <c r="J218" i="3"/>
  <c r="J264" i="3" s="1"/>
  <c r="F7" i="7"/>
  <c r="J251" i="3"/>
  <c r="E249" i="3"/>
  <c r="J219" i="3" l="1"/>
  <c r="J292" i="3" s="1"/>
  <c r="E218" i="3"/>
  <c r="E257" i="3"/>
  <c r="E255" i="3"/>
  <c r="D13" i="3" s="1"/>
  <c r="E264" i="3"/>
  <c r="J220" i="3" l="1"/>
  <c r="E220" i="3" s="1"/>
  <c r="F225" i="3" s="1"/>
  <c r="E219" i="3"/>
  <c r="D14" i="3"/>
  <c r="E258" i="3"/>
  <c r="F258" i="3" s="1"/>
  <c r="F16" i="7" l="1"/>
  <c r="F21" i="7" s="1"/>
  <c r="G16" i="7" s="1"/>
  <c r="J221" i="3"/>
  <c r="E221" i="3" s="1"/>
  <c r="F226" i="3"/>
  <c r="F228" i="3"/>
  <c r="J289" i="3" l="1"/>
  <c r="J290" i="3" s="1"/>
  <c r="J224" i="3"/>
  <c r="E224" i="3" s="1"/>
  <c r="G13" i="7"/>
  <c r="G14" i="7"/>
  <c r="G6" i="7"/>
  <c r="G15" i="7"/>
  <c r="G8" i="7"/>
  <c r="G17" i="7"/>
  <c r="G7" i="7"/>
  <c r="F227" i="3"/>
  <c r="F229" i="3" s="1"/>
  <c r="E289" i="3" l="1"/>
  <c r="J302" i="3"/>
  <c r="E302" i="3" s="1"/>
  <c r="G21" i="7"/>
  <c r="J291" i="3"/>
  <c r="E290" i="3"/>
  <c r="F265" i="3"/>
  <c r="J310" i="3" l="1"/>
  <c r="E311" i="3" s="1"/>
  <c r="K292" i="3"/>
  <c r="I291" i="3"/>
  <c r="H291" i="3" s="1"/>
  <c r="G291" i="3" s="1"/>
  <c r="F291" i="3" s="1"/>
  <c r="J296" i="3"/>
  <c r="J297" i="3" s="1"/>
  <c r="E296" i="3" s="1"/>
  <c r="D11" i="3" s="1"/>
  <c r="F268" i="3"/>
  <c r="F232" i="3"/>
  <c r="J313" i="3" l="1"/>
  <c r="E313" i="3" s="1"/>
  <c r="E315" i="3" s="1"/>
  <c r="D10" i="3" s="1"/>
  <c r="G231" i="3"/>
  <c r="G225" i="3" s="1"/>
  <c r="D9" i="3" l="1"/>
  <c r="G228" i="3"/>
  <c r="G226" i="3"/>
  <c r="G227" i="3" l="1"/>
  <c r="G229" i="3" s="1"/>
  <c r="G265" i="3" l="1"/>
  <c r="G232" i="3" l="1"/>
  <c r="G268" i="3"/>
  <c r="H231" i="3" l="1"/>
  <c r="H225" i="3" s="1"/>
  <c r="H226" i="3" l="1"/>
  <c r="H228" i="3"/>
  <c r="H227" i="3" l="1"/>
  <c r="H229" i="3" s="1"/>
  <c r="H265" i="3" l="1"/>
  <c r="H268" i="3" l="1"/>
  <c r="H232" i="3"/>
  <c r="I231" i="3" l="1"/>
  <c r="I225" i="3" s="1"/>
  <c r="I228" i="3" l="1"/>
  <c r="I226" i="3"/>
  <c r="I227" i="3" l="1"/>
  <c r="I229" i="3" s="1"/>
  <c r="I265" i="3" l="1"/>
  <c r="I268" i="3" l="1"/>
  <c r="I232" i="3"/>
  <c r="D22" i="3" s="1"/>
  <c r="J231" i="3" l="1"/>
  <c r="J225" i="3" s="1"/>
  <c r="J228" i="3" l="1"/>
  <c r="J226" i="3"/>
  <c r="J227" i="3" l="1"/>
  <c r="J229" i="3" s="1"/>
  <c r="J265" i="3" l="1"/>
  <c r="J268" i="3" l="1"/>
  <c r="J232" i="3"/>
  <c r="K231" i="3" l="1"/>
  <c r="K225" i="3" s="1"/>
  <c r="K228" i="3" l="1"/>
  <c r="K226" i="3"/>
  <c r="K227" i="3" s="1"/>
  <c r="K229" i="3" l="1"/>
  <c r="K232" i="3" s="1"/>
  <c r="L231" i="3" s="1"/>
  <c r="L225" i="3" s="1"/>
  <c r="K265" i="3"/>
  <c r="K268" i="3" s="1"/>
  <c r="L226" i="3" l="1"/>
  <c r="L227" i="3" s="1"/>
  <c r="L228" i="3"/>
  <c r="L229" i="3" l="1"/>
  <c r="L232" i="3" s="1"/>
  <c r="M231" i="3" s="1"/>
  <c r="M225" i="3" s="1"/>
  <c r="L265" i="3"/>
  <c r="L268" i="3" s="1"/>
  <c r="M226" i="3" l="1"/>
  <c r="M227" i="3" s="1"/>
  <c r="M228" i="3"/>
  <c r="M229" i="3" l="1"/>
  <c r="M232" i="3" s="1"/>
  <c r="N231" i="3" s="1"/>
  <c r="N225" i="3" s="1"/>
  <c r="M265" i="3"/>
  <c r="M268" i="3" s="1"/>
  <c r="N228" i="3" l="1"/>
  <c r="N226" i="3"/>
  <c r="N227" i="3" s="1"/>
  <c r="N229" i="3" l="1"/>
  <c r="N232" i="3" s="1"/>
  <c r="O231" i="3" s="1"/>
  <c r="O225" i="3" s="1"/>
  <c r="N265" i="3"/>
  <c r="N268" i="3" s="1"/>
  <c r="O228" i="3" l="1"/>
  <c r="O226" i="3"/>
  <c r="O227" i="3" s="1"/>
  <c r="O229" i="3" l="1"/>
  <c r="O232" i="3" s="1"/>
  <c r="P231" i="3" s="1"/>
  <c r="P225" i="3" s="1"/>
  <c r="O265" i="3"/>
  <c r="O268" i="3" s="1"/>
  <c r="P226" i="3" l="1"/>
  <c r="P227" i="3" s="1"/>
  <c r="P228" i="3"/>
  <c r="P229" i="3" l="1"/>
  <c r="P232" i="3" s="1"/>
  <c r="Q231" i="3" s="1"/>
  <c r="Q225" i="3" s="1"/>
  <c r="P265" i="3"/>
  <c r="P268" i="3" s="1"/>
  <c r="Q228" i="3" l="1"/>
  <c r="Q226" i="3"/>
  <c r="Q227" i="3" s="1"/>
  <c r="Q229" i="3" l="1"/>
  <c r="Q232" i="3" s="1"/>
  <c r="R231" i="3" s="1"/>
  <c r="R225" i="3" s="1"/>
  <c r="Q265" i="3"/>
  <c r="Q268" i="3" s="1"/>
  <c r="R226" i="3" l="1"/>
  <c r="R227" i="3" s="1"/>
  <c r="R228" i="3"/>
  <c r="R229" i="3" l="1"/>
  <c r="R232" i="3" s="1"/>
  <c r="S231" i="3" s="1"/>
  <c r="S225" i="3" s="1"/>
  <c r="R265" i="3"/>
  <c r="R268" i="3" s="1"/>
  <c r="S228" i="3" l="1"/>
  <c r="S226" i="3"/>
  <c r="S227" i="3" s="1"/>
  <c r="S229" i="3" l="1"/>
  <c r="S232" i="3" s="1"/>
  <c r="T231" i="3" s="1"/>
  <c r="T225" i="3" s="1"/>
  <c r="S265" i="3"/>
  <c r="S268" i="3" s="1"/>
  <c r="T226" i="3" l="1"/>
  <c r="T227" i="3" s="1"/>
  <c r="T228" i="3"/>
  <c r="T229" i="3" l="1"/>
  <c r="T232" i="3" s="1"/>
  <c r="U231" i="3" s="1"/>
  <c r="U225" i="3" s="1"/>
  <c r="T265" i="3"/>
  <c r="T268" i="3" s="1"/>
  <c r="U228" i="3" l="1"/>
  <c r="U226" i="3"/>
  <c r="U227" i="3" s="1"/>
  <c r="U229" i="3" l="1"/>
  <c r="U232" i="3" s="1"/>
  <c r="V231" i="3" s="1"/>
  <c r="V225" i="3" s="1"/>
  <c r="U265" i="3"/>
  <c r="U268" i="3" s="1"/>
  <c r="V228" i="3" l="1"/>
  <c r="V226" i="3"/>
  <c r="V227" i="3" s="1"/>
  <c r="V229" i="3" l="1"/>
  <c r="V232" i="3" s="1"/>
  <c r="W231" i="3" s="1"/>
  <c r="W225" i="3" s="1"/>
  <c r="V265" i="3"/>
  <c r="V268" i="3" s="1"/>
  <c r="W228" i="3" l="1"/>
  <c r="W226" i="3"/>
  <c r="W227" i="3" s="1"/>
  <c r="W229" i="3" l="1"/>
  <c r="W232" i="3" s="1"/>
  <c r="X231" i="3" s="1"/>
  <c r="X225" i="3" s="1"/>
  <c r="W265" i="3"/>
  <c r="W268" i="3" s="1"/>
  <c r="X226" i="3" l="1"/>
  <c r="X227" i="3" s="1"/>
  <c r="X228" i="3"/>
  <c r="X229" i="3" l="1"/>
  <c r="X232" i="3" s="1"/>
  <c r="Y231" i="3" s="1"/>
  <c r="Y225" i="3" s="1"/>
  <c r="X265" i="3"/>
  <c r="X268" i="3" s="1"/>
  <c r="Y228" i="3" l="1"/>
  <c r="Y226" i="3"/>
  <c r="Y227" i="3" s="1"/>
  <c r="Y229" i="3" l="1"/>
  <c r="Y232" i="3" s="1"/>
  <c r="Z231" i="3" s="1"/>
  <c r="Z225" i="3" s="1"/>
  <c r="Y265" i="3"/>
  <c r="Y268" i="3" s="1"/>
  <c r="Z226" i="3" l="1"/>
  <c r="Z227" i="3" s="1"/>
  <c r="Z228" i="3"/>
  <c r="Z229" i="3" l="1"/>
  <c r="Z232" i="3" s="1"/>
  <c r="AA231" i="3" s="1"/>
  <c r="AA225" i="3" s="1"/>
  <c r="Z265" i="3"/>
  <c r="Z268" i="3" s="1"/>
  <c r="AA228" i="3" l="1"/>
  <c r="AA226" i="3"/>
  <c r="AA227" i="3" s="1"/>
  <c r="AA229" i="3" l="1"/>
  <c r="AA232" i="3" s="1"/>
  <c r="AB231" i="3" s="1"/>
  <c r="AB225" i="3" s="1"/>
  <c r="AA265" i="3"/>
  <c r="AA268" i="3" s="1"/>
  <c r="AB228" i="3" l="1"/>
  <c r="AB226" i="3"/>
  <c r="AB227" i="3" s="1"/>
  <c r="AB229" i="3" l="1"/>
  <c r="AB232" i="3" s="1"/>
  <c r="AC231" i="3" s="1"/>
  <c r="AC225" i="3" s="1"/>
  <c r="AB265" i="3"/>
  <c r="AB268" i="3" s="1"/>
  <c r="AC228" i="3" l="1"/>
  <c r="AC226" i="3"/>
  <c r="AC227" i="3" s="1"/>
  <c r="AC229" i="3" l="1"/>
  <c r="AC232" i="3" s="1"/>
  <c r="AD231" i="3" s="1"/>
  <c r="AD225" i="3" s="1"/>
  <c r="AC265" i="3"/>
  <c r="AC268" i="3" s="1"/>
  <c r="AD228" i="3" l="1"/>
  <c r="AD226" i="3"/>
  <c r="AD227" i="3" s="1"/>
  <c r="AD229" i="3" l="1"/>
  <c r="AD232" i="3" s="1"/>
  <c r="AE231" i="3" s="1"/>
  <c r="AE225" i="3" s="1"/>
  <c r="AD265" i="3"/>
  <c r="AD268" i="3" s="1"/>
  <c r="AE228" i="3" l="1"/>
  <c r="AE226" i="3"/>
  <c r="AE227" i="3" s="1"/>
  <c r="AE229" i="3" l="1"/>
  <c r="AE232" i="3" s="1"/>
  <c r="AF231" i="3" s="1"/>
  <c r="AF225" i="3" s="1"/>
  <c r="AE265" i="3"/>
  <c r="AE268" i="3" s="1"/>
  <c r="AF226" i="3" l="1"/>
  <c r="AF227" i="3" s="1"/>
  <c r="AF228" i="3"/>
  <c r="AF229" i="3" l="1"/>
  <c r="AF232" i="3" s="1"/>
  <c r="AG231" i="3" s="1"/>
  <c r="AG225" i="3" s="1"/>
  <c r="AF265" i="3"/>
  <c r="AF268" i="3" s="1"/>
  <c r="AG228" i="3" l="1"/>
  <c r="AG226" i="3"/>
  <c r="AG227" i="3" s="1"/>
  <c r="AG229" i="3" l="1"/>
  <c r="AG232" i="3" s="1"/>
  <c r="AH231" i="3" s="1"/>
  <c r="AH225" i="3" s="1"/>
  <c r="AG265" i="3"/>
  <c r="AG268" i="3" s="1"/>
  <c r="AH228" i="3" l="1"/>
  <c r="AH226" i="3"/>
  <c r="AH227" i="3" s="1"/>
  <c r="AH229" i="3" l="1"/>
  <c r="AH232" i="3" s="1"/>
  <c r="AI231" i="3" s="1"/>
  <c r="AI225" i="3" s="1"/>
  <c r="AH265" i="3"/>
  <c r="AH268" i="3" s="1"/>
  <c r="AI228" i="3" l="1"/>
  <c r="AI226" i="3"/>
  <c r="AI227" i="3" s="1"/>
  <c r="AI229" i="3" l="1"/>
  <c r="AI232" i="3" s="1"/>
  <c r="AJ231" i="3" s="1"/>
  <c r="AJ225" i="3" s="1"/>
  <c r="AI265" i="3"/>
  <c r="AI268" i="3" s="1"/>
  <c r="AJ228" i="3" l="1"/>
  <c r="AJ226" i="3"/>
  <c r="AJ227" i="3" s="1"/>
  <c r="AJ229" i="3" l="1"/>
  <c r="AJ232" i="3" s="1"/>
  <c r="AK231" i="3" s="1"/>
  <c r="AK225" i="3" s="1"/>
  <c r="AJ265" i="3"/>
  <c r="AJ268" i="3" s="1"/>
  <c r="AK228" i="3" l="1"/>
  <c r="AK226" i="3"/>
  <c r="AK227" i="3" s="1"/>
  <c r="AK229" i="3" l="1"/>
  <c r="AK232" i="3" s="1"/>
  <c r="AL231" i="3" s="1"/>
  <c r="AL225" i="3" s="1"/>
  <c r="AK265" i="3"/>
  <c r="AK268" i="3" s="1"/>
  <c r="AL228" i="3" l="1"/>
  <c r="AL226" i="3"/>
  <c r="AL227" i="3" s="1"/>
  <c r="AL229" i="3" l="1"/>
  <c r="AL232" i="3" s="1"/>
  <c r="AM231" i="3" s="1"/>
  <c r="AM225" i="3" s="1"/>
  <c r="AL265" i="3"/>
  <c r="AL268" i="3" s="1"/>
  <c r="AM226" i="3" l="1"/>
  <c r="AM228" i="3"/>
  <c r="E228" i="3" s="1"/>
  <c r="E225" i="3"/>
  <c r="AM227" i="3" l="1"/>
  <c r="AM229" i="3" s="1"/>
  <c r="E226" i="3"/>
  <c r="AM265" i="3" l="1"/>
  <c r="C19" i="7"/>
  <c r="E227" i="3"/>
  <c r="E265" i="3" l="1"/>
  <c r="AM232" i="3"/>
  <c r="E229" i="3"/>
  <c r="C18" i="7" s="1"/>
  <c r="C21" i="7" l="1"/>
  <c r="D18" i="7" s="1"/>
  <c r="AM234" i="3"/>
  <c r="D21" i="3"/>
  <c r="E234" i="3" l="1"/>
  <c r="AM266" i="3"/>
  <c r="D15" i="7"/>
  <c r="D17" i="7"/>
  <c r="D16" i="7"/>
  <c r="D13" i="7"/>
  <c r="D8" i="7"/>
  <c r="D6" i="7"/>
  <c r="D14" i="7"/>
  <c r="D7" i="7"/>
  <c r="D19" i="7"/>
  <c r="D21" i="7" l="1"/>
  <c r="E266" i="3"/>
  <c r="AM268" i="3"/>
  <c r="E274" i="3" l="1"/>
  <c r="D18" i="3" s="1"/>
  <c r="E272" i="3"/>
  <c r="D17" i="3" s="1"/>
  <c r="E275" i="3" l="1"/>
  <c r="F275" i="3" s="1"/>
</calcChain>
</file>

<file path=xl/comments1.xml><?xml version="1.0" encoding="utf-8"?>
<comments xmlns="http://schemas.openxmlformats.org/spreadsheetml/2006/main">
  <authors>
    <author>MIRAILLES Jean Marc</author>
  </authors>
  <commentList>
    <comment ref="C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de l'indicateur DSCR. DSCR minimum garanti sur le projet par le SPV à la banque. DSCR calé à 1,7 en jouant sur la trésorerie du SPV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de l'indicateur LLCR. LLCR minimum garanti sur le projet par le SPV à la banque</t>
        </r>
      </text>
    </comment>
    <comment ref="C1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Retour sur investissement pour les investisseurs en capital privé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Retour sur investissement pour les investisseurs en capital privé</t>
        </r>
      </text>
    </comment>
    <comment ref="C2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Test la trésorerie du SPV.</t>
        </r>
      </text>
    </comment>
    <comment ref="C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Indicatif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Indicatif. Permet d'estimer le montant des apports privés et municipaux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cas échéant. Subvention municipale sur fond propre (montage trust fund?) pour équilibrer les comptes du projet</t>
        </r>
      </text>
    </comment>
    <comment ref="C2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du prélèvement sur le bénéfice net (après remboursement de prêt et impôts) afin d'alimenter la trésorerie du SPV</t>
        </r>
      </text>
    </comment>
    <comment ref="C2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Fixe la rentabilité recherchée par les investisseurs privés</t>
        </r>
      </text>
    </comment>
    <comment ref="C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Inflation</t>
        </r>
      </text>
    </comment>
    <comment ref="C3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Capacité d'endettement du SPV</t>
        </r>
      </text>
    </comment>
    <comment ref="C43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Capacité d'endettement de la mairie =&gt; hypothèse: capacité d'endettement non bridée dans le modèle =&gt; vérifier les annuités municipales!</t>
        </r>
      </text>
    </comment>
    <comment ref="C4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"Spread" à 2 points au-dessus de EURIBOR 12 mois</t>
        </r>
      </text>
    </comment>
    <comment ref="C5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"Spread" à 2 points au-dessus de EURIBOR 12 mois</t>
        </r>
      </text>
    </comment>
    <comment ref="C5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commissions aux arrangeurs financiers</t>
        </r>
      </text>
    </comment>
    <comment ref="C5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Fixe le phasage des apports en capital et en dette durant la construction</t>
        </r>
      </text>
    </comment>
    <comment ref="C5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de financement municipal vs part de financement privé</t>
        </r>
      </text>
    </comment>
    <comment ref="C5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Part de la dette (vs captital) dans le financement privé</t>
        </r>
      </text>
    </comment>
    <comment ref="C6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"Fixing" du taux de change. Hypothèse d'un prêt libellé en dollars. Taux de SWAP USD 15 ans égal à 3.33% en 2014</t>
        </r>
      </text>
    </comment>
    <comment ref="C6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"Fixing" du taux de change. Hypothèse d'un prêt libellé en dollars. Taux de SWAP USD 15 ans égal à 3.33% en 2014</t>
        </r>
      </text>
    </comment>
    <comment ref="C124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Apport en Dette privée servant à financer la construction</t>
        </r>
      </text>
    </comment>
    <comment ref="C12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Remboursement des intérêts par le SPV durant la construction</t>
        </r>
      </text>
    </comment>
    <comment ref="C12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Restant dû par le SPV à la fin de la construction</t>
        </r>
      </text>
    </comment>
    <comment ref="C13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Apport en Dette municipale servant à financer la construction</t>
        </r>
      </text>
    </comment>
    <comment ref="C13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Remboursement des intérêts par la mairie durant la construction</t>
        </r>
      </text>
    </comment>
    <comment ref="C1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Restant dû par le SPV à la fin de la construction</t>
        </r>
      </text>
    </comment>
    <comment ref="C18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Hypothèse: le remboursement de la dette du SPV commence à la fin de la première année de construction</t>
        </r>
      </text>
    </comment>
    <comment ref="C189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Hypothèse: le remboursement de la dette du SPV commence à la fin de la première année d'exploitation</t>
        </r>
      </text>
    </comment>
    <comment ref="C196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seulement au début de l'exploitation pour le SPV</t>
        </r>
      </text>
    </comment>
    <comment ref="C197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seulement au début de l'exploitation pour le SPV</t>
        </r>
      </text>
    </comment>
    <comment ref="C20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dès la construction pour la mairie</t>
        </r>
      </text>
    </comment>
    <comment ref="C203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remboursement de la dette commence dès la construction pour la mairie</t>
        </r>
      </text>
    </comment>
    <comment ref="C211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Calculé en prenant en compte la dépréciation des actifs</t>
        </r>
      </text>
    </comment>
    <comment ref="C220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Le SPV libère de la trésorerie pour l'achat des nouveaux équipements durant l'opération. De plus, si le cash flow disponible a la fin de l'année d'exploitation n'est pas suffisant pour garantir un DSCR &gt;1,7, le SPV épargne et ne reverse pas la totalité de son excédent aux actionnaires</t>
        </r>
      </text>
    </comment>
    <comment ref="C22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Retenu sur le bénéfice (avant paiement des investisseurs)</t>
        </r>
      </text>
    </comment>
    <comment ref="C228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Réinjection de la retenue non dépensée dans le cashflow)</t>
        </r>
      </text>
    </comment>
    <comment ref="C232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Correspond à la trésorerie du SPV</t>
        </r>
      </text>
    </comment>
    <comment ref="C234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Trésorerie restante à la fin de la prériode de concession redistribuée aux investisseurs privés</t>
        </r>
      </text>
    </comment>
    <comment ref="C235" authorId="0" shapeId="0">
      <text>
        <r>
          <rPr>
            <b/>
            <sz val="9"/>
            <color indexed="81"/>
            <rFont val="Tahoma"/>
            <family val="2"/>
          </rPr>
          <t>MIRAILLES Jean Marc:</t>
        </r>
        <r>
          <rPr>
            <sz val="9"/>
            <color indexed="81"/>
            <rFont val="Tahoma"/>
            <family val="2"/>
          </rPr>
          <t xml:space="preserve">
Rachat de l'infrastructure payée par la mairie aux investisseurs privés (sur la base de la valeur résiduelle)</t>
        </r>
      </text>
    </comment>
  </commentList>
</comments>
</file>

<file path=xl/sharedStrings.xml><?xml version="1.0" encoding="utf-8"?>
<sst xmlns="http://schemas.openxmlformats.org/spreadsheetml/2006/main" count="577" uniqueCount="360">
  <si>
    <t>Legenda</t>
  </si>
  <si>
    <t>Dato de entrada</t>
  </si>
  <si>
    <t>Celda llave</t>
  </si>
  <si>
    <t>Error</t>
  </si>
  <si>
    <t>Dato calculado</t>
  </si>
  <si>
    <t>DATOS</t>
  </si>
  <si>
    <t>Inversion inicial (USD 2015)</t>
  </si>
  <si>
    <t>Inversion inicial con inflacion (USD valor nominal)</t>
  </si>
  <si>
    <t>Inflacion sobre inversion inicial (USD valor nominal)</t>
  </si>
  <si>
    <t>Locales comerciales (m2)</t>
  </si>
  <si>
    <t>Alquiler mensual de locales comerciales ($/m2)</t>
  </si>
  <si>
    <t xml:space="preserve">Depreciation de activos </t>
  </si>
  <si>
    <t>Duracion de vida infinida</t>
  </si>
  <si>
    <t>de los activos</t>
  </si>
  <si>
    <t>Duracion de vida de 50 años</t>
  </si>
  <si>
    <t>Duracion de vida de 40 años</t>
  </si>
  <si>
    <t>Duracion de vida de 15 años</t>
  </si>
  <si>
    <t>Duracion de vida de 10 años</t>
  </si>
  <si>
    <t>Duracion de vida de 5 años</t>
  </si>
  <si>
    <t>Renta concesional</t>
  </si>
  <si>
    <t>de la Utilitad neta de operacion antes de impuestos</t>
  </si>
  <si>
    <t>Impuesto a la renta</t>
  </si>
  <si>
    <t>Impuesto a la renta para sociedades en Ecuador</t>
  </si>
  <si>
    <t xml:space="preserve">Hipotesis general de Inflacion 2019 - 2050 </t>
  </si>
  <si>
    <t>Tasa de actualizacion</t>
  </si>
  <si>
    <t>Tarifa (USD 2019)</t>
  </si>
  <si>
    <t>TRI 30 años</t>
  </si>
  <si>
    <t>VAN 30 años</t>
  </si>
  <si>
    <t>Ratio de cobertura (Ingresos / Egresos) de la operacion</t>
  </si>
  <si>
    <t>Margen neta de la operacion</t>
  </si>
  <si>
    <t>Año</t>
  </si>
  <si>
    <t>Y0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</si>
  <si>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</si>
  <si>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</si>
  <si>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</si>
  <si>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</si>
  <si>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</si>
  <si>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</si>
  <si>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</si>
  <si>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</si>
  <si>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</si>
  <si>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</si>
  <si>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</si>
  <si>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</si>
  <si>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</si>
  <si>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</si>
  <si>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</si>
  <si>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</si>
  <si>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</si>
  <si>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</si>
  <si>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</si>
  <si>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</si>
  <si>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</si>
  <si>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</si>
  <si>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</si>
  <si>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</si>
  <si>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</si>
  <si>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</si>
  <si>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</si>
  <si>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</si>
  <si>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</si>
  <si>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</si>
  <si>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</si>
  <si>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</si>
  <si>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</si>
  <si>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</si>
  <si>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</si>
  <si>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</si>
  <si>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</si>
  <si>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</si>
  <si>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</si>
  <si>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</si>
  <si>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</si>
  <si>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</si>
  <si>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</si>
  <si>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DATOS PROYECTADOS</t>
  </si>
  <si>
    <t>Costos anuales de O&amp;M</t>
  </si>
  <si>
    <t>Trafico anual</t>
  </si>
  <si>
    <t>Ingresos de pasajeros (valor actualizado)</t>
  </si>
  <si>
    <t>Alquiler de areas comerciales (valor actualizado)</t>
  </si>
  <si>
    <t>Activos iniciales - Depreciacion 50 años</t>
  </si>
  <si>
    <t>Activos iniciales - Depreciacion 40 años</t>
  </si>
  <si>
    <t>Activos iniciales - Depreciacion 15 años</t>
  </si>
  <si>
    <t>Activos iniciales - Depreciacion 10 años</t>
  </si>
  <si>
    <t>Activos iniciales - Depreciacion 5 años</t>
  </si>
  <si>
    <t>Activos iniciales - Valor residual</t>
  </si>
  <si>
    <t>Activos nuevos 1 - Depreciacion 10 años</t>
  </si>
  <si>
    <t>Activos nuevos 1 - Valor residual</t>
  </si>
  <si>
    <t>Activos nuevos 2 - Depreciacion 15 años</t>
  </si>
  <si>
    <t>Activos nuevos 2 - Valor residual</t>
  </si>
  <si>
    <t>Activos nuevos 3 - Depreciacion 10 años</t>
  </si>
  <si>
    <t>Activos nuevos 3 - Valor residual</t>
  </si>
  <si>
    <t>Activos nuevos 4 - Depreciacion 15 años</t>
  </si>
  <si>
    <t>Activos nuevos 4 - Valor residual</t>
  </si>
  <si>
    <t>Depreciacion de activos</t>
  </si>
  <si>
    <t>Valor residual de activos</t>
  </si>
  <si>
    <t xml:space="preserve">A. GASTOS </t>
  </si>
  <si>
    <t>1. Costos anuales de O&amp;M</t>
  </si>
  <si>
    <t>Gasto totale</t>
  </si>
  <si>
    <t>B. INGRESOS</t>
  </si>
  <si>
    <t>1. Ingresos de pasajeros</t>
  </si>
  <si>
    <t>2. Ingresos comerciales</t>
  </si>
  <si>
    <t>Ingreso totale</t>
  </si>
  <si>
    <t>Flujo de caja neto (Ingreso total - Gasto total)</t>
  </si>
  <si>
    <t>C. FLUJO DE CAJA DE OPERACION</t>
  </si>
  <si>
    <t>1. Utilitad antes de impuestos</t>
  </si>
  <si>
    <t>2. Renta concessional</t>
  </si>
  <si>
    <t>3. Depreciation</t>
  </si>
  <si>
    <t>4. Base imponible ( 1-2-3)</t>
  </si>
  <si>
    <t>5. Impuesta a la renta</t>
  </si>
  <si>
    <t>6. Utilidad despues de impuestos</t>
  </si>
  <si>
    <t>7.Depreciacion (agrego)</t>
  </si>
  <si>
    <t>Flujo de caja de operacion (6+7)</t>
  </si>
  <si>
    <t>D. FLUJO DE CAJA DE INVERSION</t>
  </si>
  <si>
    <t xml:space="preserve"> 1. Inversion inicial</t>
  </si>
  <si>
    <t xml:space="preserve"> 2. Nuevos equipos</t>
  </si>
  <si>
    <t xml:space="preserve"> 3. Valor residual despues tasas</t>
  </si>
  <si>
    <t>Flujo de caja del capital</t>
  </si>
  <si>
    <t>Inversion inicial con la inflacion</t>
  </si>
  <si>
    <t>TOTAL CASHFLOW (30 años)</t>
  </si>
  <si>
    <t>TRI (30 años)</t>
  </si>
  <si>
    <t>TOTAL CASHFLOW (40 años)</t>
  </si>
  <si>
    <t>TRI (40 años)</t>
  </si>
  <si>
    <t>EBE (Excedente Bruto de Explotacion)</t>
  </si>
  <si>
    <t>ENE (Excedente Neto de Explotacion)</t>
  </si>
  <si>
    <t>Ratio de coberture (Ingresos/Egresos)</t>
  </si>
  <si>
    <t>1,00$</t>
  </si>
  <si>
    <t xml:space="preserve"> </t>
  </si>
  <si>
    <t>Min DSCR</t>
  </si>
  <si>
    <t>LLCR</t>
  </si>
  <si>
    <t>OpEx</t>
  </si>
  <si>
    <t>Construction Costs</t>
  </si>
  <si>
    <t>NPV project</t>
  </si>
  <si>
    <t>IRR Project</t>
  </si>
  <si>
    <t>NPV Equity</t>
  </si>
  <si>
    <t>IRR Equity</t>
  </si>
  <si>
    <t>%</t>
  </si>
  <si>
    <t>Debt Facility</t>
  </si>
  <si>
    <t>Date</t>
  </si>
  <si>
    <t>Amortisation Period</t>
  </si>
  <si>
    <t>Years</t>
  </si>
  <si>
    <t>TOTAL INSTALMENTS</t>
  </si>
  <si>
    <t>REPAYMENTS</t>
  </si>
  <si>
    <t>Construction</t>
  </si>
  <si>
    <t>% p.a.</t>
  </si>
  <si>
    <t>Upfront Fee</t>
  </si>
  <si>
    <t>YES</t>
  </si>
  <si>
    <t>(if no : Equity is back ended)</t>
  </si>
  <si>
    <t>Discount Factor (WACC)</t>
  </si>
  <si>
    <t>BBSY</t>
  </si>
  <si>
    <t>CPI</t>
  </si>
  <si>
    <t>Timing</t>
  </si>
  <si>
    <t>Operations</t>
  </si>
  <si>
    <t>Start date</t>
  </si>
  <si>
    <t>Duration</t>
  </si>
  <si>
    <t>End date</t>
  </si>
  <si>
    <t>Num#</t>
  </si>
  <si>
    <t>Start</t>
  </si>
  <si>
    <t>End</t>
  </si>
  <si>
    <t>Construction: CapEx</t>
  </si>
  <si>
    <t>Construction: Funding</t>
  </si>
  <si>
    <t>Total Required Funding</t>
  </si>
  <si>
    <t>Debt: Funding</t>
  </si>
  <si>
    <t>Sub Total</t>
  </si>
  <si>
    <t>Equity: Funding</t>
  </si>
  <si>
    <t>Funding Shortfall</t>
  </si>
  <si>
    <t>Construction: Debt</t>
  </si>
  <si>
    <t>Balance B/f</t>
  </si>
  <si>
    <t>BBSY (REFERENCE RATE FOR SWAP)</t>
  </si>
  <si>
    <t>% p.p.</t>
  </si>
  <si>
    <t>Days in Period</t>
  </si>
  <si>
    <t>Days</t>
  </si>
  <si>
    <t>Year: Operations</t>
  </si>
  <si>
    <t>Revenue</t>
  </si>
  <si>
    <t>Flag: Debt Repayment</t>
  </si>
  <si>
    <t>Remaining Repayments</t>
  </si>
  <si>
    <t>All-In Rate</t>
  </si>
  <si>
    <t>Operational Cashflow</t>
  </si>
  <si>
    <t>Cashflow before Funding</t>
  </si>
  <si>
    <t>Principal Repayment</t>
  </si>
  <si>
    <t>Distributions to Equity</t>
  </si>
  <si>
    <t>Net Cashflow</t>
  </si>
  <si>
    <t>Cash Balance B/f</t>
  </si>
  <si>
    <t>Cash Balance C/f</t>
  </si>
  <si>
    <t>Flags &amp; Counters</t>
  </si>
  <si>
    <t>Year: Calendar</t>
  </si>
  <si>
    <t>Month: Construction</t>
  </si>
  <si>
    <t>Year: Construction</t>
  </si>
  <si>
    <t>Flag: End of Construction</t>
  </si>
  <si>
    <t>Year: Project</t>
  </si>
  <si>
    <t>Project Return</t>
  </si>
  <si>
    <t>NPV project @ WACC</t>
  </si>
  <si>
    <t>Check: NPV @ IRR</t>
  </si>
  <si>
    <t>Equity Return</t>
  </si>
  <si>
    <t>Cashflow for Equity Return calculation</t>
  </si>
  <si>
    <t>NPV Equity @ WACC</t>
  </si>
  <si>
    <t>Check: NPV Equity @ IRR</t>
  </si>
  <si>
    <t>Cost of Debt "r"</t>
  </si>
  <si>
    <t>"1+r"</t>
  </si>
  <si>
    <t>Factor</t>
  </si>
  <si>
    <t>Numerator</t>
  </si>
  <si>
    <t>Denominator</t>
  </si>
  <si>
    <t>Debt Balance B/f</t>
  </si>
  <si>
    <t>x @ Period Start</t>
  </si>
  <si>
    <t>DSCR</t>
  </si>
  <si>
    <t>Interest</t>
  </si>
  <si>
    <t>Principal</t>
  </si>
  <si>
    <t>Total Debt Service</t>
  </si>
  <si>
    <t>Average</t>
  </si>
  <si>
    <t>Min</t>
  </si>
  <si>
    <t>Min Period</t>
  </si>
  <si>
    <t>Renewal Costs</t>
  </si>
  <si>
    <t>Treasury</t>
  </si>
  <si>
    <t>Number of days</t>
  </si>
  <si>
    <t xml:space="preserve">USD </t>
  </si>
  <si>
    <t xml:space="preserve">UDS </t>
  </si>
  <si>
    <t>Tarifa de 1,00$ (USD 2019)</t>
  </si>
  <si>
    <t>USD 2015</t>
  </si>
  <si>
    <t>Construction Costs (excluding inflation)</t>
  </si>
  <si>
    <t>CFADS @ Period End</t>
  </si>
  <si>
    <t>CFADS (Qualifying) @ Period End</t>
  </si>
  <si>
    <t>NPV (CFADS) @ Period Start</t>
  </si>
  <si>
    <t>Legend</t>
  </si>
  <si>
    <t>Input</t>
  </si>
  <si>
    <t>Key celd</t>
  </si>
  <si>
    <t>Calculated</t>
  </si>
  <si>
    <t>OUTPUTS</t>
  </si>
  <si>
    <t>Technical inputs</t>
  </si>
  <si>
    <t>Financial viability indicators</t>
  </si>
  <si>
    <t>Operation</t>
  </si>
  <si>
    <t>Debt repayment</t>
  </si>
  <si>
    <t>Operation: Debt</t>
  </si>
  <si>
    <t>CapEx (including intesrests during construction)</t>
  </si>
  <si>
    <t>Cashflow available for Debt Service reserve Account (DSRA)</t>
  </si>
  <si>
    <t>Close out: Distribution of remaining treasury to Equity</t>
  </si>
  <si>
    <t>Close out: Asset transfer to municipality</t>
  </si>
  <si>
    <t xml:space="preserve">Residual value </t>
  </si>
  <si>
    <t>Cashflow for Project Return calculation</t>
  </si>
  <si>
    <t>LLCR (Loan Life Cover Ratio)</t>
  </si>
  <si>
    <t>DSCR (Debt Service Cover Ratio)</t>
  </si>
  <si>
    <t>VAN (30 años]</t>
  </si>
  <si>
    <t>VAN (40 años]</t>
  </si>
  <si>
    <t>of DSRA</t>
  </si>
  <si>
    <t>Revenue Tax</t>
  </si>
  <si>
    <t>Treasury: Release</t>
  </si>
  <si>
    <t>Debt / Equity</t>
  </si>
  <si>
    <t>General inputs</t>
  </si>
  <si>
    <t>Usos</t>
  </si>
  <si>
    <t>Recursos</t>
  </si>
  <si>
    <t>Durante la construccion</t>
  </si>
  <si>
    <t>Inversion inicial</t>
  </si>
  <si>
    <t>Deuda</t>
  </si>
  <si>
    <t>Upfront fee</t>
  </si>
  <si>
    <t>Interes durante la construccion</t>
  </si>
  <si>
    <t>Aportacion municipal</t>
  </si>
  <si>
    <t>Operacion y mantenimiento</t>
  </si>
  <si>
    <t>Renovaciones</t>
  </si>
  <si>
    <t>Principal de la deuda</t>
  </si>
  <si>
    <t>Dividendo a privados (Equity)</t>
  </si>
  <si>
    <t>Interest during construction for SPV</t>
  </si>
  <si>
    <t>Interest during construction for Municipality</t>
  </si>
  <si>
    <t>Balance B/f (SPV)</t>
  </si>
  <si>
    <t>Disbursement to Fund Project Costs (SPV)</t>
  </si>
  <si>
    <t>Refinance @ Completion (SPV)</t>
  </si>
  <si>
    <t>Balance C/f (SPV)</t>
  </si>
  <si>
    <t>Annuity Payment (SPV)</t>
  </si>
  <si>
    <t>less: Interest (SPV)</t>
  </si>
  <si>
    <t>Principal Repayment (SPV)</t>
  </si>
  <si>
    <t>Annuity Payment (Municipality)</t>
  </si>
  <si>
    <t>less: Interest (Municipality)</t>
  </si>
  <si>
    <t>Principal Repayment (Municipality)</t>
  </si>
  <si>
    <t>Balance B/f (Municipaly)</t>
  </si>
  <si>
    <t>Disbursement to Fund Project Costs (Municipality)</t>
  </si>
  <si>
    <t>Refinance @ Completion (Municipality)</t>
  </si>
  <si>
    <t>Balance C/f (Municipality)</t>
  </si>
  <si>
    <t>Interest during Operation for SPV</t>
  </si>
  <si>
    <t>Interest during Operation for Municipality</t>
  </si>
  <si>
    <t>Balance B/f (Municipality)</t>
  </si>
  <si>
    <t>Balance C/f (Municipality</t>
  </si>
  <si>
    <t>Private loan - Interest Margin</t>
  </si>
  <si>
    <t>Private loan - BBSY</t>
  </si>
  <si>
    <t>Interest Margin (SPV)</t>
  </si>
  <si>
    <t>All-in-Rate (SPV)</t>
  </si>
  <si>
    <t>Interest Margin (Municipality)</t>
  </si>
  <si>
    <t>All-in-Rate (Municipality)</t>
  </si>
  <si>
    <t>Initial Municipal debt</t>
  </si>
  <si>
    <t>Municipality: Funding through debt</t>
  </si>
  <si>
    <t>PRIVATE FINANCE</t>
  </si>
  <si>
    <t>Municipal direct subsidies (yearly)</t>
  </si>
  <si>
    <t>Municipality: Funding (through debt )</t>
  </si>
  <si>
    <t>Municipality: Funding (through subsidies)</t>
  </si>
  <si>
    <t>Test "CASH BALANCE &gt; 0"</t>
  </si>
  <si>
    <t>Part de la dette municipale dans le financement de la construction</t>
  </si>
  <si>
    <t>Part de la dette privée dans le financement de la construction</t>
  </si>
  <si>
    <t>Part du capital privé dans le financement de la construction</t>
  </si>
  <si>
    <t>Calcul des intérêts à rembourser par le SPV durant la construction</t>
  </si>
  <si>
    <t>Calcul des intérêts à rembourser par le maire durant la construction</t>
  </si>
  <si>
    <t xml:space="preserve">Financement des renouvellements d'équipement sur la trésorerie du SPV. Déblocage de fonds de la part du SPV pour financer les renouvellements d'équipement. </t>
  </si>
  <si>
    <t>Calcul des intérêts à rembourser par le SPV durant l'exploitation</t>
  </si>
  <si>
    <t>Calcul des intérêts à rembourser par le maire durant l'exploitation</t>
  </si>
  <si>
    <t>Private Amortisation Start</t>
  </si>
  <si>
    <t>Municipal Amortisation Start</t>
  </si>
  <si>
    <t>Private Facility Limit</t>
  </si>
  <si>
    <t>Municipal Facility limit</t>
  </si>
  <si>
    <t>Flag: Private Debt Repayment</t>
  </si>
  <si>
    <t>Hypothèse: le remboursement de la dette du SPV commence à la fin de la première année d'exploitation</t>
  </si>
  <si>
    <t>Flag: Municipal Debt Repayment</t>
  </si>
  <si>
    <t>Hypothèse: le remboursement de la dette du SPV commence à la fin de la première année de construction</t>
  </si>
  <si>
    <t>Private Debt Term End</t>
  </si>
  <si>
    <t>Municipal Debt Term End</t>
  </si>
  <si>
    <t>Upfront Fee on private loan</t>
  </si>
  <si>
    <t>Upfront fee on municipal loan</t>
  </si>
  <si>
    <t>FUNDING SCHEME</t>
  </si>
  <si>
    <t>Municipal loan - BBSY</t>
  </si>
  <si>
    <t>Municipal loan - Interest Margin</t>
  </si>
  <si>
    <t>Private Debt: Interest During Construction</t>
  </si>
  <si>
    <t>Private Debt: Upfront Fee</t>
  </si>
  <si>
    <t>Private: Debt funding</t>
  </si>
  <si>
    <t>Private: Equity Funding</t>
  </si>
  <si>
    <t>Repayments during construction (SPV)</t>
  </si>
  <si>
    <t>Repayments during construction (Municipality)</t>
  </si>
  <si>
    <t>Undrawn Facility (SPV)</t>
  </si>
  <si>
    <t>Undrawn Facility (Municipality)</t>
  </si>
  <si>
    <t>Upfront Fee (SPV)</t>
  </si>
  <si>
    <t>Repayments during operation (SPV)</t>
  </si>
  <si>
    <t>Repayments during operation (Municipality)</t>
  </si>
  <si>
    <t>Initial dibursment</t>
  </si>
  <si>
    <t>Private funding vs Municipal funding ratio</t>
  </si>
  <si>
    <t>Private funding: Inital Debt vs Equity ratio</t>
  </si>
  <si>
    <t>Municipal direct subsidies (if any)</t>
  </si>
  <si>
    <t>Interests</t>
  </si>
  <si>
    <t>CashFlow Available for Debt Service (CFADS)</t>
  </si>
  <si>
    <t>CashFlow after Funding</t>
  </si>
  <si>
    <t>Total</t>
  </si>
  <si>
    <t>Subsidios Municipal</t>
  </si>
  <si>
    <t>SPV Cashflow Waterfall</t>
  </si>
  <si>
    <t>Municipality Cashflow Waterfall</t>
  </si>
  <si>
    <t>TOTAL</t>
  </si>
  <si>
    <t>Transferencia de activos</t>
  </si>
  <si>
    <t>Intereses</t>
  </si>
  <si>
    <t>Treasury: Funding</t>
  </si>
  <si>
    <t>Aportacion de capital privado</t>
  </si>
  <si>
    <t>Deuda privada</t>
  </si>
  <si>
    <t>Durante la operacion</t>
  </si>
  <si>
    <t>Ingresos de operacion</t>
  </si>
  <si>
    <t>Autofinanciamento sobre Tesoreria</t>
  </si>
  <si>
    <t>Constitucion de la Tesoreria</t>
  </si>
  <si>
    <t>Treasury: Add back</t>
  </si>
  <si>
    <t>Treasury: Deduction</t>
  </si>
  <si>
    <t>Annuity payment - Interest</t>
  </si>
  <si>
    <t>Annuity payment - Principal</t>
  </si>
  <si>
    <t>Pago de la deuda - Intereses</t>
  </si>
  <si>
    <t>Pago de la deuda - Principal</t>
  </si>
  <si>
    <t>Anticipated treasury</t>
  </si>
  <si>
    <t>Test "INITIAL TREASURY"</t>
  </si>
  <si>
    <t>INITIAL TREASURY</t>
  </si>
  <si>
    <t>Cashflow available to Equity</t>
  </si>
  <si>
    <t>Usos y recursos del concesionario (flujos de caja)</t>
  </si>
  <si>
    <t>Aportacion municipal (flujos de caja)</t>
  </si>
  <si>
    <t>Activar MACRO para acceder al contenido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</si>
</sst>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8" formatCode="#,##0.00\ &quot;€&quot;;[Red]\-#,##0.00\ &quot;€&quot;"/>
    <numFmt numFmtId="41" formatCode="_-* #,##0\ _€_-;\-* #,##0\ _€_-;_-* &quot;-&quot;\ _€_-;_-@_-"/>
    <numFmt numFmtId="43" formatCode="_-* #,##0.00\ _€_-;\-* #,##0.00\ _€_-;_-* &quot;-&quot;??\ _€_-;_-@_-"/>
    <numFmt numFmtId="164" formatCode="0.0%"/>
    <numFmt numFmtId="165" formatCode="[$$-409]#,##0.00"/>
    <numFmt numFmtId="166" formatCode="[$$-409]#,##0"/>
    <numFmt numFmtId="167" formatCode="0.00&quot; x&quot;"/>
    <numFmt numFmtId="168" formatCode="[$-C09]dd\-mmm\-yy;@"/>
    <numFmt numFmtId="169" formatCode="_(* #,##0.00_);_(* \(#,##0.00\);_(* &quot;-&quot;??_);_(@_)"/>
    <numFmt numFmtId="170" formatCode="_(* #,##0_);_(* \(#,##0\);_(* &quot;-&quot;??_);_(@_)"/>
    <numFmt numFmtId="171" formatCode="&quot;Op Yr&quot;\ General"/>
    <numFmt numFmtId="172" formatCode="&quot;Op Yr&quot;\ General&quot;+&quot;"/>
    <numFmt numFmtId="173" formatCode="0.00\ &quot;Yr(s)&quot;"/>
    <numFmt numFmtId="174" formatCode="_(* #,##0.00000000_);_(* \(#,##0.00000000\);_(* &quot;-&quot;??_);_(@_)"/>
    <numFmt numFmtId="175" formatCode="#,##0_-;\ \(#,##0\);_-* &quot;-&quot;??;_-@_-"/>
    <numFmt numFmtId="176" formatCode="0.0000"/>
    <numFmt numFmtId="177" formatCode="&quot;Fail&quot;;;&quot;Ok&quot;"/>
    <numFmt numFmtId="178" formatCode="#,##0\ _€"/>
    <numFmt numFmtId="179" formatCode="_-[$$-409]* #,##0_ ;_-[$$-409]* \-#,##0\ ;_-[$$-409]* &quot;-&quot;_ ;_-@_ "/>
    <numFmt numFmtId="180" formatCode="0.000"/>
    <numFmt numFmtId="181" formatCode="[$$-409]#,##0_ ;[Red]\-[$$-409]#,##0\ "/>
    <numFmt numFmtId="182" formatCode="[$$-409]#,##0.00_ ;[Red]\-[$$-409]#,##0.00\ "/>
    <numFmt numFmtId="183" formatCode="[$$-409]#,##0_ ;\-[$$-409]#,##0\ "/>
    <numFmt numFmtId="184" formatCode="0&quot; x&quot;"/>
  </numFmts>
  <fonts count="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name val="Trebuchet MS"/>
      <family val="2"/>
    </font>
    <font>
      <b/>
      <sz val="10"/>
      <color theme="1"/>
      <name val="Trebuchet MS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0"/>
      <color theme="1"/>
      <name val="Arial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</font>
    <font>
      <b/>
      <sz val="17"/>
      <color indexed="10"/>
      <name val="Arial"/>
      <family val="2"/>
    </font>
    <font>
      <b/>
      <sz val="13"/>
      <color indexed="10"/>
      <name val="Arial"/>
      <family val="2"/>
    </font>
    <font>
      <sz val="10"/>
      <color indexed="55"/>
      <name val="Arial"/>
      <family val="2"/>
    </font>
    <font>
      <sz val="10"/>
      <color indexed="8"/>
      <name val="Arial"/>
      <family val="2"/>
    </font>
    <font>
      <sz val="10"/>
      <color indexed="45"/>
      <name val="Arial"/>
      <family val="2"/>
    </font>
    <font>
      <sz val="10"/>
      <color indexed="16"/>
      <name val="Arial"/>
      <family val="2"/>
    </font>
    <font>
      <sz val="10"/>
      <color indexed="59"/>
      <name val="Arial"/>
      <family val="2"/>
    </font>
    <font>
      <sz val="10"/>
      <color indexed="23"/>
      <name val="Arial"/>
      <family val="2"/>
    </font>
    <font>
      <b/>
      <sz val="13"/>
      <name val="Arial"/>
      <family val="2"/>
    </font>
    <font>
      <b/>
      <sz val="12"/>
      <color indexed="8"/>
      <name val="Arial"/>
      <family val="2"/>
    </font>
    <font>
      <u/>
      <sz val="11"/>
      <name val="Arial"/>
      <family val="2"/>
    </font>
    <font>
      <sz val="10"/>
      <color indexed="9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indexed="16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0" tint="-0.249977111117893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color theme="0" tint="-0.499984740745262"/>
      <name val="Arial"/>
      <family val="2"/>
    </font>
    <font>
      <b/>
      <sz val="11"/>
      <color theme="0" tint="-0.34998626667073579"/>
      <name val="Calibri"/>
      <family val="2"/>
      <scheme val="minor"/>
    </font>
    <font>
      <b/>
      <sz val="10"/>
      <color theme="0" tint="-0.34998626667073579"/>
      <name val="Arial"/>
      <family val="2"/>
    </font>
    <font>
      <b/>
      <sz val="16"/>
      <color rgb="FFFF0000"/>
      <name val="Arial"/>
      <family val="2"/>
    </font>
    <font>
      <b/>
      <sz val="10"/>
      <color theme="0"/>
      <name val="Arial"/>
      <family val="2"/>
    </font>
    <font>
      <b/>
      <sz val="10"/>
      <color theme="0"/>
      <name val="Trebuchet MS"/>
      <family val="2"/>
    </font>
    <font>
      <b/>
      <sz val="10"/>
      <color theme="0" tint="-0.249977111117893"/>
      <name val="Arial"/>
      <family val="2"/>
    </font>
    <font>
      <sz val="11"/>
      <color theme="0" tint="-0.1499984740745262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b/>
      <sz val="10"/>
      <color rgb="FF00B0F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0" tint="-0.34998626667073579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lightUp">
        <fgColor indexed="23"/>
      </patternFill>
    </fill>
    <fill>
      <patternFill patternType="lightUp">
        <fgColor indexed="55"/>
      </patternFill>
    </fill>
    <fill>
      <patternFill patternType="lightGray"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16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64"/>
      </right>
      <top style="thin">
        <color indexed="23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16"/>
      </left>
      <right/>
      <top style="thin">
        <color indexed="64"/>
      </top>
      <bottom style="thin">
        <color indexed="64"/>
      </bottom>
      <diagonal/>
    </border>
    <border>
      <left style="thin">
        <color indexed="16"/>
      </left>
      <right/>
      <top/>
      <bottom style="thin">
        <color indexed="64"/>
      </bottom>
      <diagonal/>
    </border>
    <border>
      <left style="thin">
        <color indexed="59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16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9" borderId="29" applyNumberFormat="0" applyBorder="0" applyAlignment="0"/>
    <xf numFmtId="0" fontId="13" fillId="10" borderId="32"/>
    <xf numFmtId="0" fontId="15" fillId="0" borderId="0" applyNumberFormat="0" applyFill="0"/>
    <xf numFmtId="0" fontId="16" fillId="0" borderId="0" applyNumberFormat="0" applyFill="0">
      <alignment horizontal="left"/>
    </xf>
    <xf numFmtId="0" fontId="17" fillId="0" borderId="0" applyNumberFormat="0" applyFill="0" applyBorder="0">
      <alignment horizontal="left"/>
    </xf>
    <xf numFmtId="169" fontId="18" fillId="11" borderId="38" applyNumberFormat="0" applyAlignment="0">
      <alignment horizontal="center"/>
    </xf>
    <xf numFmtId="0" fontId="19" fillId="9" borderId="3" applyNumberFormat="0" applyAlignment="0"/>
    <xf numFmtId="0" fontId="20" fillId="12" borderId="39" applyNumberFormat="0" applyAlignment="0"/>
    <xf numFmtId="15" fontId="17" fillId="10" borderId="40" applyNumberFormat="0" applyAlignment="0">
      <alignment horizontal="center"/>
    </xf>
    <xf numFmtId="0" fontId="21" fillId="10" borderId="41" applyNumberFormat="0"/>
    <xf numFmtId="175" fontId="22" fillId="15" borderId="42"/>
    <xf numFmtId="0" fontId="14" fillId="17" borderId="3" applyNumberFormat="0"/>
    <xf numFmtId="0" fontId="14" fillId="0" borderId="46" applyNumberFormat="0" applyFont="0" applyFill="0" applyAlignment="0"/>
    <xf numFmtId="0" fontId="14" fillId="0" borderId="3" applyNumberFormat="0"/>
    <xf numFmtId="177" fontId="17" fillId="0" borderId="40">
      <alignment horizontal="center"/>
    </xf>
    <xf numFmtId="0" fontId="17" fillId="0" borderId="0" applyNumberFormat="0"/>
    <xf numFmtId="0" fontId="24" fillId="0" borderId="0" applyNumberFormat="0" applyFill="0"/>
    <xf numFmtId="0" fontId="25" fillId="0" borderId="0"/>
    <xf numFmtId="0" fontId="26" fillId="18" borderId="3" applyNumberFormat="0" applyAlignment="0">
      <alignment horizontal="centerContinuous" vertical="center"/>
    </xf>
  </cellStyleXfs>
  <cellXfs count="487">
    <xf numFmtId="0" fontId="0" fillId="0" borderId="0" xfId="0"/>
    <xf numFmtId="0" fontId="0" fillId="2" borderId="0" xfId="0" applyFill="1"/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/>
    <xf numFmtId="3" fontId="2" fillId="0" borderId="0" xfId="0" applyNumberFormat="1" applyFont="1" applyBorder="1" applyAlignment="1">
      <alignment horizontal="center"/>
    </xf>
    <xf numFmtId="3" fontId="5" fillId="0" borderId="8" xfId="0" applyNumberFormat="1" applyFont="1" applyFill="1" applyBorder="1"/>
    <xf numFmtId="3" fontId="5" fillId="0" borderId="0" xfId="0" applyNumberFormat="1" applyFont="1" applyFill="1" applyBorder="1"/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Border="1"/>
    <xf numFmtId="3" fontId="5" fillId="0" borderId="10" xfId="0" applyNumberFormat="1" applyFont="1" applyFill="1" applyBorder="1"/>
    <xf numFmtId="3" fontId="5" fillId="0" borderId="0" xfId="0" applyNumberFormat="1" applyFont="1" applyBorder="1"/>
    <xf numFmtId="3" fontId="5" fillId="0" borderId="10" xfId="0" applyNumberFormat="1" applyFont="1" applyBorder="1"/>
    <xf numFmtId="3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/>
    <xf numFmtId="3" fontId="5" fillId="0" borderId="12" xfId="0" applyNumberFormat="1" applyFont="1" applyBorder="1"/>
    <xf numFmtId="3" fontId="5" fillId="0" borderId="14" xfId="0" applyNumberFormat="1" applyFont="1" applyBorder="1"/>
    <xf numFmtId="0" fontId="0" fillId="0" borderId="0" xfId="0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0" fillId="0" borderId="0" xfId="0" applyNumberFormat="1" applyFill="1"/>
    <xf numFmtId="3" fontId="5" fillId="0" borderId="16" xfId="0" applyNumberFormat="1" applyFont="1" applyFill="1" applyBorder="1"/>
    <xf numFmtId="0" fontId="6" fillId="0" borderId="0" xfId="0" applyFont="1"/>
    <xf numFmtId="3" fontId="7" fillId="0" borderId="3" xfId="0" applyNumberFormat="1" applyFont="1" applyBorder="1" applyAlignment="1">
      <alignment horizontal="right"/>
    </xf>
    <xf numFmtId="9" fontId="7" fillId="0" borderId="3" xfId="2" applyFont="1" applyBorder="1" applyAlignment="1">
      <alignment horizontal="center"/>
    </xf>
    <xf numFmtId="0" fontId="0" fillId="6" borderId="0" xfId="0" applyFill="1" applyBorder="1"/>
    <xf numFmtId="3" fontId="2" fillId="6" borderId="0" xfId="0" applyNumberFormat="1" applyFont="1" applyFill="1" applyBorder="1" applyAlignment="1"/>
    <xf numFmtId="3" fontId="2" fillId="6" borderId="0" xfId="0" applyNumberFormat="1" applyFont="1" applyFill="1" applyBorder="1" applyAlignment="1">
      <alignment horizontal="center"/>
    </xf>
    <xf numFmtId="0" fontId="6" fillId="0" borderId="0" xfId="0" applyFont="1" applyBorder="1"/>
    <xf numFmtId="3" fontId="2" fillId="0" borderId="0" xfId="0" applyNumberFormat="1" applyFont="1" applyBorder="1"/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0" fillId="0" borderId="0" xfId="0" applyFill="1"/>
    <xf numFmtId="3" fontId="2" fillId="7" borderId="0" xfId="0" applyNumberFormat="1" applyFont="1" applyFill="1" applyBorder="1" applyAlignment="1">
      <alignment horizontal="left" vertical="center"/>
    </xf>
    <xf numFmtId="3" fontId="0" fillId="7" borderId="0" xfId="0" applyNumberFormat="1" applyFill="1" applyBorder="1" applyAlignment="1">
      <alignment horizontal="center" vertical="center"/>
    </xf>
    <xf numFmtId="0" fontId="0" fillId="0" borderId="0" xfId="0" applyFill="1" applyBorder="1"/>
    <xf numFmtId="3" fontId="5" fillId="0" borderId="0" xfId="0" applyNumberFormat="1" applyFont="1" applyFill="1" applyBorder="1" applyAlignment="1">
      <alignment horizontal="left" vertical="center"/>
    </xf>
    <xf numFmtId="3" fontId="0" fillId="4" borderId="0" xfId="0" applyNumberFormat="1" applyFill="1" applyBorder="1" applyAlignment="1">
      <alignment horizontal="center" vertical="center"/>
    </xf>
    <xf numFmtId="3" fontId="5" fillId="0" borderId="0" xfId="0" applyNumberFormat="1" applyFont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3" fontId="7" fillId="0" borderId="18" xfId="0" applyNumberFormat="1" applyFont="1" applyFill="1" applyBorder="1" applyAlignment="1">
      <alignment horizontal="left" vertic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horizontal="left" vertical="center"/>
    </xf>
    <xf numFmtId="3" fontId="2" fillId="7" borderId="19" xfId="0" applyNumberFormat="1" applyFont="1" applyFill="1" applyBorder="1" applyAlignment="1">
      <alignment horizontal="left" vertical="center"/>
    </xf>
    <xf numFmtId="3" fontId="0" fillId="7" borderId="20" xfId="0" applyNumberFormat="1" applyFill="1" applyBorder="1" applyAlignment="1">
      <alignment horizontal="center" vertical="center"/>
    </xf>
    <xf numFmtId="3" fontId="5" fillId="0" borderId="22" xfId="0" applyNumberFormat="1" applyFont="1" applyBorder="1" applyAlignment="1">
      <alignment horizontal="left" vertical="center"/>
    </xf>
    <xf numFmtId="3" fontId="2" fillId="2" borderId="24" xfId="0" applyNumberFormat="1" applyFont="1" applyFill="1" applyBorder="1" applyAlignment="1">
      <alignment horizontal="right" vertical="center"/>
    </xf>
    <xf numFmtId="3" fontId="7" fillId="2" borderId="1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left" vertical="center"/>
    </xf>
    <xf numFmtId="3" fontId="0" fillId="2" borderId="1" xfId="0" applyNumberForma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2" fillId="2" borderId="26" xfId="0" applyNumberFormat="1" applyFont="1" applyFill="1" applyBorder="1" applyAlignment="1">
      <alignment horizontal="right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7" fillId="2" borderId="27" xfId="0" applyNumberFormat="1" applyFont="1" applyFill="1" applyBorder="1" applyAlignment="1">
      <alignment horizontal="center" vertical="center"/>
    </xf>
    <xf numFmtId="0" fontId="5" fillId="0" borderId="0" xfId="0" applyFont="1" applyFill="1"/>
    <xf numFmtId="0" fontId="5" fillId="7" borderId="0" xfId="0" applyFont="1" applyFill="1"/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3" fontId="10" fillId="0" borderId="22" xfId="0" applyNumberFormat="1" applyFont="1" applyBorder="1" applyAlignment="1">
      <alignment horizontal="lef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" fillId="0" borderId="22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Fill="1"/>
    <xf numFmtId="0" fontId="11" fillId="2" borderId="0" xfId="0" applyFont="1" applyFill="1"/>
    <xf numFmtId="3" fontId="11" fillId="0" borderId="0" xfId="0" applyNumberFormat="1" applyFont="1" applyFill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10" fontId="7" fillId="6" borderId="0" xfId="2" applyNumberFormat="1" applyFont="1" applyFill="1" applyAlignment="1">
      <alignment horizontal="center" vertical="center"/>
    </xf>
    <xf numFmtId="3" fontId="0" fillId="8" borderId="0" xfId="0" applyNumberFormat="1" applyFill="1" applyBorder="1" applyAlignment="1">
      <alignment horizontal="center" vertical="center"/>
    </xf>
    <xf numFmtId="9" fontId="0" fillId="0" borderId="0" xfId="2" applyFont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/>
    <xf numFmtId="3" fontId="0" fillId="0" borderId="0" xfId="0" applyNumberFormat="1" applyAlignment="1">
      <alignment horizontal="center" vertical="center"/>
    </xf>
    <xf numFmtId="3" fontId="7" fillId="0" borderId="0" xfId="0" applyNumberFormat="1" applyFont="1" applyBorder="1" applyAlignment="1"/>
    <xf numFmtId="165" fontId="7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Border="1"/>
    <xf numFmtId="10" fontId="0" fillId="0" borderId="0" xfId="0" applyNumberFormat="1" applyBorder="1"/>
    <xf numFmtId="167" fontId="0" fillId="0" borderId="0" xfId="0" applyNumberFormat="1" applyBorder="1"/>
    <xf numFmtId="0" fontId="14" fillId="0" borderId="0" xfId="0" applyFont="1"/>
    <xf numFmtId="9" fontId="0" fillId="0" borderId="0" xfId="0" applyNumberFormat="1"/>
    <xf numFmtId="0" fontId="14" fillId="0" borderId="0" xfId="7" applyFont="1">
      <alignment horizontal="left"/>
    </xf>
    <xf numFmtId="0" fontId="15" fillId="0" borderId="0" xfId="5" applyFont="1"/>
    <xf numFmtId="170" fontId="0" fillId="0" borderId="0" xfId="0" applyNumberFormat="1"/>
    <xf numFmtId="0" fontId="15" fillId="0" borderId="0" xfId="5"/>
    <xf numFmtId="0" fontId="14" fillId="0" borderId="0" xfId="7" applyFont="1" applyFill="1" applyBorder="1">
      <alignment horizontal="left"/>
    </xf>
    <xf numFmtId="175" fontId="22" fillId="16" borderId="42" xfId="13" applyFill="1" applyBorder="1"/>
    <xf numFmtId="175" fontId="22" fillId="16" borderId="44" xfId="13" applyFill="1" applyBorder="1"/>
    <xf numFmtId="0" fontId="14" fillId="0" borderId="0" xfId="0" applyFont="1" applyBorder="1"/>
    <xf numFmtId="0" fontId="16" fillId="0" borderId="0" xfId="6">
      <alignment horizontal="left"/>
    </xf>
    <xf numFmtId="0" fontId="23" fillId="0" borderId="0" xfId="6" applyFont="1" applyFill="1">
      <alignment horizontal="left"/>
    </xf>
    <xf numFmtId="169" fontId="20" fillId="12" borderId="39" xfId="10" applyNumberFormat="1"/>
    <xf numFmtId="9" fontId="1" fillId="0" borderId="0" xfId="2" applyBorder="1"/>
    <xf numFmtId="9" fontId="1" fillId="0" borderId="30" xfId="2" applyBorder="1"/>
    <xf numFmtId="169" fontId="0" fillId="0" borderId="0" xfId="0" applyNumberFormat="1" applyBorder="1"/>
    <xf numFmtId="169" fontId="0" fillId="0" borderId="30" xfId="0" applyNumberFormat="1" applyBorder="1"/>
    <xf numFmtId="170" fontId="0" fillId="0" borderId="0" xfId="0" applyNumberFormat="1" applyBorder="1"/>
    <xf numFmtId="0" fontId="17" fillId="0" borderId="0" xfId="18" applyFont="1"/>
    <xf numFmtId="0" fontId="14" fillId="0" borderId="0" xfId="18" applyFont="1"/>
    <xf numFmtId="43" fontId="0" fillId="0" borderId="0" xfId="1" applyFont="1" applyBorder="1"/>
    <xf numFmtId="0" fontId="25" fillId="0" borderId="0" xfId="20" applyFont="1"/>
    <xf numFmtId="167" fontId="0" fillId="0" borderId="0" xfId="1" applyNumberFormat="1" applyFont="1" applyBorder="1"/>
    <xf numFmtId="0" fontId="26" fillId="18" borderId="3" xfId="21" applyFont="1" applyBorder="1" applyAlignment="1">
      <alignment horizontal="center" vertical="center"/>
    </xf>
    <xf numFmtId="0" fontId="16" fillId="0" borderId="0" xfId="6" applyFill="1">
      <alignment horizontal="left"/>
    </xf>
    <xf numFmtId="0" fontId="15" fillId="0" borderId="0" xfId="5" applyFont="1" applyFill="1"/>
    <xf numFmtId="0" fontId="14" fillId="0" borderId="0" xfId="7" applyFont="1" applyFill="1">
      <alignment horizontal="left"/>
    </xf>
    <xf numFmtId="0" fontId="14" fillId="0" borderId="0" xfId="0" applyFont="1" applyFill="1" applyBorder="1"/>
    <xf numFmtId="15" fontId="21" fillId="0" borderId="41" xfId="12" applyNumberFormat="1" applyFill="1" applyBorder="1"/>
    <xf numFmtId="15" fontId="0" fillId="0" borderId="0" xfId="0" applyNumberFormat="1" applyFill="1" applyBorder="1"/>
    <xf numFmtId="176" fontId="0" fillId="0" borderId="0" xfId="0" applyNumberFormat="1" applyFill="1" applyBorder="1"/>
    <xf numFmtId="0" fontId="0" fillId="3" borderId="0" xfId="0" applyFill="1"/>
    <xf numFmtId="0" fontId="14" fillId="0" borderId="0" xfId="14" applyFill="1" applyBorder="1"/>
    <xf numFmtId="169" fontId="14" fillId="0" borderId="0" xfId="15" applyNumberFormat="1" applyFill="1" applyBorder="1"/>
    <xf numFmtId="0" fontId="0" fillId="8" borderId="27" xfId="0" applyFill="1" applyBorder="1"/>
    <xf numFmtId="0" fontId="0" fillId="8" borderId="28" xfId="0" applyFill="1" applyBorder="1"/>
    <xf numFmtId="0" fontId="15" fillId="8" borderId="26" xfId="5" applyFont="1" applyFill="1" applyBorder="1"/>
    <xf numFmtId="0" fontId="14" fillId="8" borderId="27" xfId="0" applyFont="1" applyFill="1" applyBorder="1"/>
    <xf numFmtId="0" fontId="15" fillId="0" borderId="0" xfId="5" applyFont="1" applyFill="1" applyBorder="1"/>
    <xf numFmtId="166" fontId="18" fillId="0" borderId="0" xfId="8" applyNumberFormat="1" applyFill="1" applyBorder="1" applyAlignment="1"/>
    <xf numFmtId="0" fontId="0" fillId="0" borderId="0" xfId="0" applyFill="1" applyBorder="1" applyAlignment="1">
      <alignment horizontal="center"/>
    </xf>
    <xf numFmtId="9" fontId="18" fillId="4" borderId="0" xfId="2" applyFont="1" applyFill="1" applyBorder="1" applyAlignment="1"/>
    <xf numFmtId="168" fontId="0" fillId="0" borderId="0" xfId="0" applyNumberFormat="1" applyBorder="1"/>
    <xf numFmtId="0" fontId="17" fillId="0" borderId="0" xfId="7" applyFont="1" applyBorder="1">
      <alignment horizontal="left"/>
    </xf>
    <xf numFmtId="0" fontId="19" fillId="9" borderId="3" xfId="9" applyNumberFormat="1" applyBorder="1"/>
    <xf numFmtId="171" fontId="19" fillId="9" borderId="3" xfId="9" applyNumberFormat="1" applyBorder="1"/>
    <xf numFmtId="172" fontId="19" fillId="9" borderId="3" xfId="9" applyNumberFormat="1" applyBorder="1"/>
    <xf numFmtId="168" fontId="0" fillId="0" borderId="3" xfId="0" applyNumberFormat="1" applyBorder="1" applyAlignment="1">
      <alignment horizontal="center"/>
    </xf>
    <xf numFmtId="175" fontId="22" fillId="16" borderId="47" xfId="13" applyFill="1" applyBorder="1"/>
    <xf numFmtId="175" fontId="22" fillId="16" borderId="48" xfId="13" applyFill="1" applyBorder="1"/>
    <xf numFmtId="15" fontId="17" fillId="0" borderId="0" xfId="11" applyFont="1" applyFill="1" applyBorder="1" applyAlignment="1">
      <alignment horizontal="right"/>
    </xf>
    <xf numFmtId="15" fontId="14" fillId="0" borderId="0" xfId="12" applyNumberFormat="1" applyFont="1" applyFill="1" applyBorder="1"/>
    <xf numFmtId="15" fontId="21" fillId="0" borderId="0" xfId="12" applyNumberFormat="1" applyFill="1" applyBorder="1"/>
    <xf numFmtId="175" fontId="22" fillId="0" borderId="0" xfId="13" applyFill="1" applyBorder="1"/>
    <xf numFmtId="0" fontId="0" fillId="0" borderId="0" xfId="0" applyNumberFormat="1" applyFill="1" applyBorder="1"/>
    <xf numFmtId="0" fontId="5" fillId="0" borderId="0" xfId="7" applyFont="1" applyFill="1" applyBorder="1">
      <alignment horizontal="left"/>
    </xf>
    <xf numFmtId="0" fontId="5" fillId="0" borderId="0" xfId="7" applyFont="1">
      <alignment horizontal="left"/>
    </xf>
    <xf numFmtId="0" fontId="5" fillId="0" borderId="0" xfId="0" applyFont="1" applyBorder="1"/>
    <xf numFmtId="0" fontId="5" fillId="0" borderId="0" xfId="18" applyFont="1"/>
    <xf numFmtId="179" fontId="18" fillId="0" borderId="0" xfId="8" applyNumberFormat="1" applyFill="1" applyBorder="1" applyAlignment="1"/>
    <xf numFmtId="41" fontId="0" fillId="0" borderId="0" xfId="0" applyNumberFormat="1" applyBorder="1"/>
    <xf numFmtId="41" fontId="16" fillId="0" borderId="0" xfId="6" applyNumberFormat="1" applyFill="1">
      <alignment horizontal="left"/>
    </xf>
    <xf numFmtId="41" fontId="0" fillId="0" borderId="0" xfId="0" applyNumberFormat="1"/>
    <xf numFmtId="41" fontId="20" fillId="12" borderId="39" xfId="10" applyNumberFormat="1"/>
    <xf numFmtId="41" fontId="0" fillId="0" borderId="0" xfId="0" applyNumberFormat="1" applyFill="1" applyBorder="1"/>
    <xf numFmtId="41" fontId="0" fillId="0" borderId="0" xfId="0" applyNumberFormat="1" applyFill="1"/>
    <xf numFmtId="41" fontId="16" fillId="0" borderId="0" xfId="6" applyNumberFormat="1">
      <alignment horizontal="left"/>
    </xf>
    <xf numFmtId="41" fontId="0" fillId="0" borderId="45" xfId="0" applyNumberFormat="1" applyFill="1" applyBorder="1"/>
    <xf numFmtId="41" fontId="0" fillId="0" borderId="30" xfId="0" applyNumberFormat="1" applyFill="1" applyBorder="1"/>
    <xf numFmtId="41" fontId="1" fillId="0" borderId="0" xfId="1" applyNumberFormat="1" applyFill="1" applyBorder="1"/>
    <xf numFmtId="41" fontId="1" fillId="0" borderId="0" xfId="1" applyNumberFormat="1" applyBorder="1"/>
    <xf numFmtId="41" fontId="14" fillId="17" borderId="3" xfId="14" applyNumberFormat="1"/>
    <xf numFmtId="41" fontId="21" fillId="14" borderId="41" xfId="12" applyNumberFormat="1" applyFill="1"/>
    <xf numFmtId="41" fontId="20" fillId="0" borderId="39" xfId="10" applyNumberFormat="1" applyFill="1"/>
    <xf numFmtId="178" fontId="0" fillId="0" borderId="0" xfId="0" applyNumberFormat="1" applyBorder="1"/>
    <xf numFmtId="178" fontId="0" fillId="0" borderId="0" xfId="0" applyNumberFormat="1"/>
    <xf numFmtId="41" fontId="0" fillId="4" borderId="0" xfId="0" applyNumberFormat="1" applyFill="1" applyBorder="1"/>
    <xf numFmtId="0" fontId="2" fillId="0" borderId="0" xfId="0" applyFont="1" applyBorder="1"/>
    <xf numFmtId="0" fontId="2" fillId="0" borderId="0" xfId="0" applyFont="1" applyFill="1" applyBorder="1"/>
    <xf numFmtId="0" fontId="7" fillId="0" borderId="0" xfId="7" applyFont="1" applyFill="1" applyBorder="1">
      <alignment horizontal="left"/>
    </xf>
    <xf numFmtId="0" fontId="2" fillId="0" borderId="0" xfId="0" applyFont="1" applyFill="1"/>
    <xf numFmtId="0" fontId="2" fillId="0" borderId="0" xfId="0" applyFont="1"/>
    <xf numFmtId="178" fontId="29" fillId="12" borderId="39" xfId="10" applyNumberFormat="1" applyFont="1"/>
    <xf numFmtId="0" fontId="19" fillId="0" borderId="0" xfId="9" applyNumberFormat="1" applyFill="1" applyBorder="1"/>
    <xf numFmtId="0" fontId="30" fillId="0" borderId="0" xfId="0" applyFont="1" applyFill="1" applyBorder="1"/>
    <xf numFmtId="0" fontId="5" fillId="0" borderId="0" xfId="0" applyFont="1" applyFill="1" applyBorder="1"/>
    <xf numFmtId="41" fontId="21" fillId="7" borderId="3" xfId="12" applyNumberFormat="1" applyFill="1" applyBorder="1"/>
    <xf numFmtId="3" fontId="7" fillId="0" borderId="50" xfId="0" applyNumberFormat="1" applyFont="1" applyBorder="1" applyAlignment="1">
      <alignment horizontal="right"/>
    </xf>
    <xf numFmtId="3" fontId="7" fillId="0" borderId="51" xfId="0" applyNumberFormat="1" applyFont="1" applyBorder="1" applyAlignment="1">
      <alignment horizontal="right"/>
    </xf>
    <xf numFmtId="3" fontId="7" fillId="0" borderId="52" xfId="0" applyNumberFormat="1" applyFont="1" applyBorder="1" applyAlignment="1"/>
    <xf numFmtId="165" fontId="7" fillId="0" borderId="53" xfId="0" applyNumberFormat="1" applyFont="1" applyBorder="1" applyAlignment="1">
      <alignment horizontal="center" vertical="center"/>
    </xf>
    <xf numFmtId="164" fontId="7" fillId="0" borderId="52" xfId="0" applyNumberFormat="1" applyFont="1" applyFill="1" applyBorder="1" applyAlignment="1">
      <alignment horizontal="center" vertical="center"/>
    </xf>
    <xf numFmtId="166" fontId="7" fillId="0" borderId="53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Font="1" applyBorder="1"/>
    <xf numFmtId="178" fontId="0" fillId="0" borderId="0" xfId="0" applyNumberFormat="1" applyFont="1" applyBorder="1"/>
    <xf numFmtId="0" fontId="0" fillId="0" borderId="0" xfId="0" applyFont="1"/>
    <xf numFmtId="3" fontId="35" fillId="0" borderId="0" xfId="0" applyNumberFormat="1" applyFont="1" applyBorder="1" applyAlignment="1">
      <alignment horizontal="center"/>
    </xf>
    <xf numFmtId="3" fontId="33" fillId="7" borderId="0" xfId="0" applyNumberFormat="1" applyFont="1" applyFill="1" applyBorder="1" applyAlignment="1">
      <alignment horizontal="center" vertical="center"/>
    </xf>
    <xf numFmtId="3" fontId="33" fillId="0" borderId="0" xfId="0" applyNumberFormat="1" applyFont="1" applyBorder="1" applyAlignment="1">
      <alignment horizontal="center" vertical="center"/>
    </xf>
    <xf numFmtId="3" fontId="33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18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3" fontId="33" fillId="7" borderId="20" xfId="0" applyNumberFormat="1" applyFont="1" applyFill="1" applyBorder="1" applyAlignment="1">
      <alignment horizontal="center" vertical="center"/>
    </xf>
    <xf numFmtId="3" fontId="33" fillId="7" borderId="21" xfId="0" applyNumberFormat="1" applyFont="1" applyFill="1" applyBorder="1" applyAlignment="1">
      <alignment horizontal="center" vertical="center"/>
    </xf>
    <xf numFmtId="3" fontId="33" fillId="0" borderId="23" xfId="0" applyNumberFormat="1" applyFont="1" applyFill="1" applyBorder="1" applyAlignment="1">
      <alignment horizontal="center" vertical="center"/>
    </xf>
    <xf numFmtId="3" fontId="36" fillId="2" borderId="1" xfId="0" applyNumberFormat="1" applyFont="1" applyFill="1" applyBorder="1" applyAlignment="1">
      <alignment horizontal="center" vertical="center"/>
    </xf>
    <xf numFmtId="3" fontId="36" fillId="2" borderId="25" xfId="0" applyNumberFormat="1" applyFont="1" applyFill="1" applyBorder="1" applyAlignment="1">
      <alignment horizontal="center" vertical="center"/>
    </xf>
    <xf numFmtId="3" fontId="33" fillId="0" borderId="23" xfId="0" applyNumberFormat="1" applyFont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25" xfId="0" applyNumberFormat="1" applyFont="1" applyFill="1" applyBorder="1" applyAlignment="1">
      <alignment horizontal="center" vertical="center"/>
    </xf>
    <xf numFmtId="3" fontId="36" fillId="2" borderId="27" xfId="0" applyNumberFormat="1" applyFont="1" applyFill="1" applyBorder="1" applyAlignment="1">
      <alignment horizontal="center" vertical="center"/>
    </xf>
    <xf numFmtId="3" fontId="36" fillId="2" borderId="28" xfId="0" applyNumberFormat="1" applyFont="1" applyFill="1" applyBorder="1" applyAlignment="1">
      <alignment horizontal="center" vertical="center"/>
    </xf>
    <xf numFmtId="3" fontId="35" fillId="0" borderId="0" xfId="0" applyNumberFormat="1" applyFont="1" applyBorder="1" applyAlignment="1">
      <alignment horizontal="center" vertical="center"/>
    </xf>
    <xf numFmtId="3" fontId="35" fillId="0" borderId="23" xfId="0" applyNumberFormat="1" applyFont="1" applyBorder="1" applyAlignment="1">
      <alignment horizontal="center" vertical="center"/>
    </xf>
    <xf numFmtId="3" fontId="33" fillId="4" borderId="23" xfId="0" applyNumberFormat="1" applyFont="1" applyFill="1" applyBorder="1" applyAlignment="1">
      <alignment horizontal="center" vertical="center"/>
    </xf>
    <xf numFmtId="164" fontId="36" fillId="6" borderId="0" xfId="2" applyNumberFormat="1" applyFont="1" applyFill="1" applyAlignment="1">
      <alignment horizontal="center" vertical="center"/>
    </xf>
    <xf numFmtId="9" fontId="33" fillId="0" borderId="0" xfId="2" applyFont="1" applyBorder="1" applyAlignment="1">
      <alignment horizontal="center" vertical="center"/>
    </xf>
    <xf numFmtId="41" fontId="2" fillId="0" borderId="30" xfId="0" applyNumberFormat="1" applyFont="1" applyFill="1" applyBorder="1"/>
    <xf numFmtId="41" fontId="2" fillId="0" borderId="30" xfId="0" applyNumberFormat="1" applyFont="1" applyBorder="1"/>
    <xf numFmtId="41" fontId="0" fillId="0" borderId="30" xfId="0" applyNumberFormat="1" applyBorder="1"/>
    <xf numFmtId="174" fontId="17" fillId="0" borderId="0" xfId="11" applyNumberFormat="1" applyFill="1" applyBorder="1">
      <alignment horizontal="center"/>
    </xf>
    <xf numFmtId="15" fontId="2" fillId="0" borderId="0" xfId="0" applyNumberFormat="1" applyFont="1" applyFill="1" applyBorder="1" applyAlignment="1">
      <alignment horizontal="center"/>
    </xf>
    <xf numFmtId="10" fontId="7" fillId="0" borderId="0" xfId="2" applyNumberFormat="1" applyFont="1" applyFill="1" applyAlignment="1">
      <alignment horizontal="center" vertical="center"/>
    </xf>
    <xf numFmtId="3" fontId="0" fillId="6" borderId="0" xfId="0" applyNumberFormat="1" applyFill="1" applyBorder="1" applyAlignment="1">
      <alignment horizontal="center" vertical="center"/>
    </xf>
    <xf numFmtId="41" fontId="29" fillId="12" borderId="39" xfId="10" applyNumberFormat="1" applyFont="1"/>
    <xf numFmtId="41" fontId="2" fillId="0" borderId="0" xfId="1" applyNumberFormat="1" applyFont="1" applyBorder="1"/>
    <xf numFmtId="167" fontId="0" fillId="6" borderId="3" xfId="1" applyNumberFormat="1" applyFont="1" applyFill="1" applyBorder="1"/>
    <xf numFmtId="168" fontId="0" fillId="6" borderId="3" xfId="0" applyNumberFormat="1" applyFill="1" applyBorder="1"/>
    <xf numFmtId="0" fontId="37" fillId="10" borderId="26" xfId="4" applyFont="1" applyBorder="1"/>
    <xf numFmtId="0" fontId="37" fillId="10" borderId="27" xfId="4" applyFont="1" applyBorder="1"/>
    <xf numFmtId="166" fontId="11" fillId="4" borderId="0" xfId="8" applyNumberFormat="1" applyFont="1" applyFill="1" applyBorder="1" applyAlignment="1"/>
    <xf numFmtId="0" fontId="37" fillId="8" borderId="27" xfId="4" applyFont="1" applyFill="1" applyBorder="1"/>
    <xf numFmtId="0" fontId="28" fillId="8" borderId="27" xfId="0" applyFont="1" applyFill="1" applyBorder="1"/>
    <xf numFmtId="0" fontId="28" fillId="8" borderId="28" xfId="0" applyFont="1" applyFill="1" applyBorder="1"/>
    <xf numFmtId="0" fontId="13" fillId="2" borderId="26" xfId="4" applyFill="1" applyBorder="1"/>
    <xf numFmtId="0" fontId="14" fillId="2" borderId="27" xfId="0" applyFont="1" applyFill="1" applyBorder="1"/>
    <xf numFmtId="0" fontId="0" fillId="2" borderId="27" xfId="0" applyFill="1" applyBorder="1"/>
    <xf numFmtId="0" fontId="0" fillId="2" borderId="28" xfId="0" applyFill="1" applyBorder="1"/>
    <xf numFmtId="0" fontId="19" fillId="0" borderId="0" xfId="9" applyFill="1" applyBorder="1" applyAlignment="1">
      <alignment horizontal="center" vertical="center"/>
    </xf>
    <xf numFmtId="175" fontId="22" fillId="16" borderId="54" xfId="13" applyFill="1" applyBorder="1"/>
    <xf numFmtId="0" fontId="19" fillId="9" borderId="3" xfId="9" applyBorder="1" applyAlignment="1">
      <alignment horizontal="center" vertical="center"/>
    </xf>
    <xf numFmtId="15" fontId="21" fillId="14" borderId="3" xfId="12" applyNumberFormat="1" applyFill="1" applyBorder="1"/>
    <xf numFmtId="0" fontId="39" fillId="3" borderId="3" xfId="0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15" fontId="2" fillId="13" borderId="30" xfId="0" applyNumberFormat="1" applyFont="1" applyFill="1" applyBorder="1" applyAlignment="1">
      <alignment horizontal="center"/>
    </xf>
    <xf numFmtId="15" fontId="2" fillId="13" borderId="31" xfId="0" applyNumberFormat="1" applyFont="1" applyFill="1" applyBorder="1" applyAlignment="1">
      <alignment horizontal="center"/>
    </xf>
    <xf numFmtId="15" fontId="2" fillId="13" borderId="0" xfId="0" applyNumberFormat="1" applyFont="1" applyFill="1" applyBorder="1" applyAlignment="1">
      <alignment horizontal="center"/>
    </xf>
    <xf numFmtId="15" fontId="14" fillId="0" borderId="49" xfId="12" applyNumberFormat="1" applyFont="1" applyFill="1" applyBorder="1" applyAlignment="1">
      <alignment horizontal="center"/>
    </xf>
    <xf numFmtId="15" fontId="21" fillId="0" borderId="49" xfId="12" applyNumberFormat="1" applyFill="1" applyBorder="1" applyAlignment="1">
      <alignment horizontal="center"/>
    </xf>
    <xf numFmtId="15" fontId="14" fillId="0" borderId="43" xfId="12" applyNumberFormat="1" applyFont="1" applyFill="1" applyBorder="1" applyAlignment="1">
      <alignment horizontal="center"/>
    </xf>
    <xf numFmtId="15" fontId="21" fillId="0" borderId="43" xfId="12" applyNumberFormat="1" applyFill="1" applyBorder="1" applyAlignment="1">
      <alignment horizontal="center"/>
    </xf>
    <xf numFmtId="0" fontId="14" fillId="0" borderId="0" xfId="14" applyFill="1" applyBorder="1" applyAlignment="1">
      <alignment horizontal="center"/>
    </xf>
    <xf numFmtId="15" fontId="21" fillId="0" borderId="55" xfId="12" applyNumberFormat="1" applyFill="1" applyBorder="1"/>
    <xf numFmtId="41" fontId="22" fillId="0" borderId="3" xfId="13" applyNumberFormat="1" applyFill="1" applyBorder="1"/>
    <xf numFmtId="175" fontId="22" fillId="0" borderId="3" xfId="13" applyFill="1" applyBorder="1"/>
    <xf numFmtId="41" fontId="2" fillId="0" borderId="45" xfId="0" applyNumberFormat="1" applyFont="1" applyFill="1" applyBorder="1"/>
    <xf numFmtId="0" fontId="2" fillId="3" borderId="0" xfId="0" applyFont="1" applyFill="1"/>
    <xf numFmtId="41" fontId="2" fillId="0" borderId="0" xfId="0" applyNumberFormat="1" applyFont="1" applyFill="1" applyBorder="1"/>
    <xf numFmtId="41" fontId="2" fillId="0" borderId="0" xfId="1" applyNumberFormat="1" applyFont="1" applyFill="1" applyBorder="1"/>
    <xf numFmtId="41" fontId="5" fillId="17" borderId="3" xfId="14" applyNumberFormat="1" applyFont="1"/>
    <xf numFmtId="0" fontId="0" fillId="0" borderId="0" xfId="0" applyFont="1" applyFill="1"/>
    <xf numFmtId="41" fontId="5" fillId="0" borderId="32" xfId="15" applyNumberFormat="1" applyFont="1" applyBorder="1"/>
    <xf numFmtId="41" fontId="5" fillId="0" borderId="33" xfId="15" applyNumberFormat="1" applyFont="1" applyBorder="1"/>
    <xf numFmtId="41" fontId="0" fillId="0" borderId="56" xfId="0" applyNumberFormat="1" applyFill="1" applyBorder="1"/>
    <xf numFmtId="41" fontId="0" fillId="0" borderId="33" xfId="0" applyNumberFormat="1" applyFill="1" applyBorder="1"/>
    <xf numFmtId="41" fontId="16" fillId="0" borderId="18" xfId="6" applyNumberFormat="1" applyFill="1" applyBorder="1">
      <alignment horizontal="left"/>
    </xf>
    <xf numFmtId="41" fontId="0" fillId="0" borderId="18" xfId="0" applyNumberFormat="1" applyBorder="1"/>
    <xf numFmtId="41" fontId="0" fillId="4" borderId="57" xfId="0" applyNumberFormat="1" applyFill="1" applyBorder="1"/>
    <xf numFmtId="41" fontId="0" fillId="4" borderId="18" xfId="0" applyNumberFormat="1" applyFill="1" applyBorder="1"/>
    <xf numFmtId="41" fontId="0" fillId="0" borderId="18" xfId="0" applyNumberFormat="1" applyFill="1" applyBorder="1"/>
    <xf numFmtId="0" fontId="32" fillId="0" borderId="0" xfId="0" applyFont="1" applyFill="1"/>
    <xf numFmtId="0" fontId="32" fillId="0" borderId="0" xfId="0" applyFont="1"/>
    <xf numFmtId="0" fontId="10" fillId="0" borderId="0" xfId="0" applyFont="1" applyFill="1" applyBorder="1"/>
    <xf numFmtId="0" fontId="10" fillId="0" borderId="0" xfId="0" applyFont="1" applyBorder="1"/>
    <xf numFmtId="0" fontId="34" fillId="0" borderId="0" xfId="7" applyFont="1" applyFill="1" applyBorder="1">
      <alignment horizontal="left"/>
    </xf>
    <xf numFmtId="41" fontId="10" fillId="0" borderId="0" xfId="0" applyNumberFormat="1" applyFont="1" applyBorder="1"/>
    <xf numFmtId="41" fontId="10" fillId="0" borderId="18" xfId="1" applyNumberFormat="1" applyFont="1" applyBorder="1"/>
    <xf numFmtId="0" fontId="10" fillId="0" borderId="0" xfId="0" applyFont="1" applyFill="1"/>
    <xf numFmtId="0" fontId="10" fillId="0" borderId="0" xfId="0" applyFont="1"/>
    <xf numFmtId="0" fontId="31" fillId="0" borderId="0" xfId="7" applyFont="1" applyFill="1" applyBorder="1">
      <alignment horizontal="left"/>
    </xf>
    <xf numFmtId="41" fontId="0" fillId="0" borderId="0" xfId="0" applyNumberFormat="1" applyFont="1" applyBorder="1"/>
    <xf numFmtId="41" fontId="0" fillId="0" borderId="33" xfId="0" applyNumberFormat="1" applyBorder="1"/>
    <xf numFmtId="41" fontId="1" fillId="0" borderId="32" xfId="1" applyNumberFormat="1" applyBorder="1"/>
    <xf numFmtId="41" fontId="1" fillId="0" borderId="33" xfId="1" applyNumberFormat="1" applyBorder="1"/>
    <xf numFmtId="0" fontId="0" fillId="0" borderId="18" xfId="0" applyBorder="1"/>
    <xf numFmtId="41" fontId="0" fillId="0" borderId="58" xfId="0" applyNumberFormat="1" applyBorder="1"/>
    <xf numFmtId="41" fontId="2" fillId="0" borderId="56" xfId="1" applyNumberFormat="1" applyFont="1" applyBorder="1"/>
    <xf numFmtId="41" fontId="2" fillId="0" borderId="33" xfId="1" applyNumberFormat="1" applyFont="1" applyFill="1" applyBorder="1"/>
    <xf numFmtId="41" fontId="2" fillId="0" borderId="33" xfId="1" applyNumberFormat="1" applyFont="1" applyBorder="1"/>
    <xf numFmtId="0" fontId="16" fillId="0" borderId="18" xfId="6" applyFill="1" applyBorder="1">
      <alignment horizontal="left"/>
    </xf>
    <xf numFmtId="0" fontId="0" fillId="0" borderId="18" xfId="0" applyFill="1" applyBorder="1"/>
    <xf numFmtId="41" fontId="0" fillId="4" borderId="45" xfId="0" applyNumberFormat="1" applyFill="1" applyBorder="1"/>
    <xf numFmtId="41" fontId="0" fillId="4" borderId="30" xfId="0" applyNumberFormat="1" applyFill="1" applyBorder="1"/>
    <xf numFmtId="41" fontId="0" fillId="0" borderId="57" xfId="0" applyNumberFormat="1" applyFill="1" applyBorder="1"/>
    <xf numFmtId="41" fontId="14" fillId="0" borderId="32" xfId="15" applyNumberFormat="1" applyBorder="1"/>
    <xf numFmtId="41" fontId="14" fillId="0" borderId="33" xfId="15" applyNumberFormat="1" applyBorder="1"/>
    <xf numFmtId="10" fontId="21" fillId="0" borderId="0" xfId="12" applyNumberFormat="1" applyFill="1" applyBorder="1"/>
    <xf numFmtId="41" fontId="2" fillId="0" borderId="18" xfId="1" applyNumberFormat="1" applyFont="1" applyBorder="1"/>
    <xf numFmtId="41" fontId="2" fillId="0" borderId="0" xfId="0" applyNumberFormat="1" applyFont="1" applyBorder="1"/>
    <xf numFmtId="10" fontId="14" fillId="0" borderId="0" xfId="16" applyNumberFormat="1" applyFill="1" applyBorder="1" applyAlignment="1">
      <alignment horizontal="center"/>
    </xf>
    <xf numFmtId="177" fontId="17" fillId="0" borderId="0" xfId="17" applyFill="1" applyBorder="1" applyAlignment="1">
      <alignment horizontal="center"/>
    </xf>
    <xf numFmtId="41" fontId="1" fillId="0" borderId="0" xfId="1" applyNumberFormat="1" applyFill="1" applyBorder="1" applyAlignment="1">
      <alignment horizontal="right"/>
    </xf>
    <xf numFmtId="41" fontId="1" fillId="6" borderId="0" xfId="1" applyNumberFormat="1" applyFill="1" applyBorder="1" applyAlignment="1">
      <alignment horizontal="right"/>
    </xf>
    <xf numFmtId="10" fontId="14" fillId="0" borderId="0" xfId="16" applyNumberFormat="1" applyBorder="1" applyAlignment="1">
      <alignment horizontal="center"/>
    </xf>
    <xf numFmtId="0" fontId="0" fillId="0" borderId="0" xfId="0" applyBorder="1" applyAlignment="1">
      <alignment horizontal="center"/>
    </xf>
    <xf numFmtId="177" fontId="17" fillId="0" borderId="0" xfId="17" applyBorder="1" applyAlignment="1">
      <alignment horizontal="center"/>
    </xf>
    <xf numFmtId="41" fontId="1" fillId="0" borderId="18" xfId="1" applyNumberFormat="1" applyFill="1" applyBorder="1"/>
    <xf numFmtId="10" fontId="1" fillId="6" borderId="0" xfId="2" applyNumberFormat="1" applyFill="1" applyBorder="1" applyAlignment="1">
      <alignment horizontal="center"/>
    </xf>
    <xf numFmtId="8" fontId="1" fillId="0" borderId="0" xfId="1" applyNumberFormat="1" applyFill="1" applyBorder="1" applyAlignment="1">
      <alignment horizontal="right"/>
    </xf>
    <xf numFmtId="3" fontId="40" fillId="0" borderId="0" xfId="0" applyNumberFormat="1" applyFont="1" applyFill="1" applyBorder="1" applyAlignment="1">
      <alignment horizontal="center" vertical="center"/>
    </xf>
    <xf numFmtId="3" fontId="32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3" fontId="32" fillId="0" borderId="0" xfId="0" applyNumberFormat="1" applyFont="1"/>
    <xf numFmtId="3" fontId="32" fillId="6" borderId="0" xfId="0" applyNumberFormat="1" applyFont="1" applyFill="1" applyBorder="1" applyAlignment="1">
      <alignment horizontal="center" vertical="center"/>
    </xf>
    <xf numFmtId="167" fontId="11" fillId="0" borderId="31" xfId="0" applyNumberFormat="1" applyFont="1" applyBorder="1" applyAlignment="1">
      <alignment horizontal="right"/>
    </xf>
    <xf numFmtId="168" fontId="11" fillId="0" borderId="35" xfId="0" applyNumberFormat="1" applyFont="1" applyBorder="1" applyAlignment="1">
      <alignment horizontal="right"/>
    </xf>
    <xf numFmtId="0" fontId="11" fillId="0" borderId="35" xfId="0" applyFont="1" applyBorder="1" applyAlignment="1">
      <alignment horizontal="right"/>
    </xf>
    <xf numFmtId="179" fontId="11" fillId="0" borderId="35" xfId="0" applyNumberFormat="1" applyFont="1" applyBorder="1" applyAlignment="1">
      <alignment horizontal="right"/>
    </xf>
    <xf numFmtId="10" fontId="11" fillId="0" borderId="35" xfId="0" applyNumberFormat="1" applyFont="1" applyBorder="1" applyAlignment="1">
      <alignment horizontal="right"/>
    </xf>
    <xf numFmtId="0" fontId="2" fillId="0" borderId="29" xfId="0" applyFont="1" applyBorder="1"/>
    <xf numFmtId="0" fontId="2" fillId="0" borderId="34" xfId="0" applyFont="1" applyBorder="1"/>
    <xf numFmtId="0" fontId="2" fillId="0" borderId="34" xfId="0" applyFont="1" applyFill="1" applyBorder="1"/>
    <xf numFmtId="0" fontId="2" fillId="0" borderId="36" xfId="0" applyFont="1" applyBorder="1"/>
    <xf numFmtId="180" fontId="0" fillId="0" borderId="0" xfId="0" applyNumberFormat="1"/>
    <xf numFmtId="170" fontId="41" fillId="0" borderId="0" xfId="0" applyNumberFormat="1" applyFont="1" applyBorder="1"/>
    <xf numFmtId="41" fontId="41" fillId="0" borderId="0" xfId="1" applyNumberFormat="1" applyFont="1" applyBorder="1"/>
    <xf numFmtId="167" fontId="41" fillId="0" borderId="0" xfId="1" applyNumberFormat="1" applyFont="1" applyBorder="1"/>
    <xf numFmtId="0" fontId="0" fillId="20" borderId="0" xfId="0" applyFill="1"/>
    <xf numFmtId="0" fontId="0" fillId="20" borderId="0" xfId="0" applyFill="1" applyBorder="1"/>
    <xf numFmtId="0" fontId="2" fillId="20" borderId="26" xfId="0" applyFont="1" applyFill="1" applyBorder="1"/>
    <xf numFmtId="182" fontId="0" fillId="20" borderId="0" xfId="0" applyNumberFormat="1" applyFill="1"/>
    <xf numFmtId="9" fontId="0" fillId="20" borderId="0" xfId="2" applyFont="1" applyFill="1"/>
    <xf numFmtId="0" fontId="2" fillId="20" borderId="0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8" xfId="0" applyFont="1" applyFill="1" applyBorder="1"/>
    <xf numFmtId="0" fontId="0" fillId="20" borderId="10" xfId="0" applyFill="1" applyBorder="1"/>
    <xf numFmtId="0" fontId="0" fillId="20" borderId="16" xfId="0" applyFill="1" applyBorder="1"/>
    <xf numFmtId="0" fontId="2" fillId="20" borderId="10" xfId="0" applyFont="1" applyFill="1" applyBorder="1"/>
    <xf numFmtId="0" fontId="0" fillId="20" borderId="10" xfId="0" applyFont="1" applyFill="1" applyBorder="1"/>
    <xf numFmtId="0" fontId="2" fillId="20" borderId="61" xfId="0" applyFont="1" applyFill="1" applyBorder="1" applyAlignment="1">
      <alignment horizontal="center"/>
    </xf>
    <xf numFmtId="0" fontId="0" fillId="20" borderId="61" xfId="0" applyFill="1" applyBorder="1"/>
    <xf numFmtId="0" fontId="0" fillId="20" borderId="4" xfId="0" applyFill="1" applyBorder="1"/>
    <xf numFmtId="181" fontId="0" fillId="20" borderId="4" xfId="0" applyNumberFormat="1" applyFill="1" applyBorder="1"/>
    <xf numFmtId="0" fontId="0" fillId="20" borderId="62" xfId="0" applyFill="1" applyBorder="1"/>
    <xf numFmtId="181" fontId="0" fillId="20" borderId="4" xfId="0" applyNumberFormat="1" applyFont="1" applyFill="1" applyBorder="1"/>
    <xf numFmtId="181" fontId="0" fillId="20" borderId="62" xfId="0" applyNumberFormat="1" applyFill="1" applyBorder="1"/>
    <xf numFmtId="0" fontId="2" fillId="20" borderId="59" xfId="0" applyFont="1" applyFill="1" applyBorder="1" applyAlignment="1">
      <alignment horizontal="center"/>
    </xf>
    <xf numFmtId="0" fontId="2" fillId="20" borderId="60" xfId="0" applyFont="1" applyFill="1" applyBorder="1" applyAlignment="1">
      <alignment horizontal="center"/>
    </xf>
    <xf numFmtId="181" fontId="2" fillId="20" borderId="62" xfId="0" applyNumberFormat="1" applyFont="1" applyFill="1" applyBorder="1"/>
    <xf numFmtId="181" fontId="2" fillId="20" borderId="63" xfId="0" applyNumberFormat="1" applyFont="1" applyFill="1" applyBorder="1"/>
    <xf numFmtId="0" fontId="2" fillId="20" borderId="59" xfId="0" applyFont="1" applyFill="1" applyBorder="1"/>
    <xf numFmtId="181" fontId="2" fillId="20" borderId="60" xfId="0" applyNumberFormat="1" applyFont="1" applyFill="1" applyBorder="1"/>
    <xf numFmtId="0" fontId="0" fillId="20" borderId="21" xfId="0" applyFill="1" applyBorder="1" applyAlignment="1">
      <alignment horizontal="right"/>
    </xf>
    <xf numFmtId="0" fontId="0" fillId="20" borderId="23" xfId="0" applyFill="1" applyBorder="1" applyAlignment="1">
      <alignment horizontal="right"/>
    </xf>
    <xf numFmtId="9" fontId="0" fillId="20" borderId="23" xfId="2" applyFont="1" applyFill="1" applyBorder="1" applyAlignment="1">
      <alignment horizontal="right"/>
    </xf>
    <xf numFmtId="0" fontId="0" fillId="20" borderId="25" xfId="0" applyFill="1" applyBorder="1" applyAlignment="1">
      <alignment horizontal="right"/>
    </xf>
    <xf numFmtId="181" fontId="0" fillId="20" borderId="23" xfId="0" applyNumberFormat="1" applyFill="1" applyBorder="1" applyAlignment="1">
      <alignment horizontal="right"/>
    </xf>
    <xf numFmtId="9" fontId="2" fillId="20" borderId="28" xfId="2" applyFont="1" applyFill="1" applyBorder="1" applyAlignment="1">
      <alignment horizontal="right"/>
    </xf>
    <xf numFmtId="0" fontId="0" fillId="20" borderId="20" xfId="0" applyFill="1" applyBorder="1" applyAlignment="1">
      <alignment horizontal="right"/>
    </xf>
    <xf numFmtId="0" fontId="0" fillId="20" borderId="0" xfId="0" applyFill="1" applyBorder="1" applyAlignment="1">
      <alignment horizontal="right"/>
    </xf>
    <xf numFmtId="0" fontId="2" fillId="20" borderId="10" xfId="0" applyFont="1" applyFill="1" applyBorder="1" applyAlignment="1">
      <alignment horizontal="center"/>
    </xf>
    <xf numFmtId="0" fontId="43" fillId="0" borderId="0" xfId="0" applyFont="1" applyBorder="1"/>
    <xf numFmtId="0" fontId="44" fillId="0" borderId="0" xfId="0" applyFont="1" applyFill="1" applyBorder="1"/>
    <xf numFmtId="0" fontId="45" fillId="0" borderId="0" xfId="7" applyFont="1" applyFill="1" applyBorder="1">
      <alignment horizontal="left"/>
    </xf>
    <xf numFmtId="178" fontId="44" fillId="0" borderId="0" xfId="0" applyNumberFormat="1" applyFont="1" applyBorder="1"/>
    <xf numFmtId="0" fontId="44" fillId="0" borderId="0" xfId="0" applyFont="1"/>
    <xf numFmtId="0" fontId="43" fillId="0" borderId="0" xfId="0" applyFont="1" applyFill="1" applyBorder="1"/>
    <xf numFmtId="0" fontId="46" fillId="0" borderId="0" xfId="7" applyFont="1" applyFill="1" applyBorder="1">
      <alignment horizontal="left"/>
    </xf>
    <xf numFmtId="41" fontId="43" fillId="0" borderId="0" xfId="0" applyNumberFormat="1" applyFont="1" applyBorder="1"/>
    <xf numFmtId="41" fontId="43" fillId="0" borderId="33" xfId="1" applyNumberFormat="1" applyFont="1" applyFill="1" applyBorder="1"/>
    <xf numFmtId="0" fontId="43" fillId="0" borderId="0" xfId="0" applyFont="1"/>
    <xf numFmtId="0" fontId="43" fillId="0" borderId="0" xfId="0" applyFont="1" applyFill="1"/>
    <xf numFmtId="41" fontId="46" fillId="12" borderId="39" xfId="10" applyNumberFormat="1" applyFont="1"/>
    <xf numFmtId="0" fontId="44" fillId="0" borderId="0" xfId="0" applyFont="1" applyBorder="1"/>
    <xf numFmtId="41" fontId="44" fillId="0" borderId="0" xfId="0" applyNumberFormat="1" applyFont="1" applyBorder="1"/>
    <xf numFmtId="41" fontId="44" fillId="0" borderId="18" xfId="1" applyNumberFormat="1" applyFont="1" applyBorder="1"/>
    <xf numFmtId="0" fontId="44" fillId="0" borderId="0" xfId="0" applyFont="1" applyFill="1"/>
    <xf numFmtId="41" fontId="45" fillId="12" borderId="39" xfId="10" applyNumberFormat="1" applyFont="1"/>
    <xf numFmtId="41" fontId="44" fillId="0" borderId="0" xfId="1" applyNumberFormat="1" applyFont="1" applyBorder="1"/>
    <xf numFmtId="41" fontId="45" fillId="17" borderId="3" xfId="14" applyNumberFormat="1" applyFont="1"/>
    <xf numFmtId="41" fontId="45" fillId="0" borderId="32" xfId="15" applyNumberFormat="1" applyFont="1" applyBorder="1"/>
    <xf numFmtId="41" fontId="45" fillId="0" borderId="33" xfId="15" applyNumberFormat="1" applyFont="1" applyBorder="1"/>
    <xf numFmtId="41" fontId="43" fillId="0" borderId="18" xfId="1" applyNumberFormat="1" applyFont="1" applyBorder="1"/>
    <xf numFmtId="9" fontId="44" fillId="0" borderId="0" xfId="2" applyFont="1" applyBorder="1"/>
    <xf numFmtId="41" fontId="43" fillId="0" borderId="0" xfId="1" applyNumberFormat="1" applyFont="1" applyBorder="1"/>
    <xf numFmtId="41" fontId="43" fillId="0" borderId="30" xfId="0" applyNumberFormat="1" applyFont="1" applyBorder="1"/>
    <xf numFmtId="10" fontId="45" fillId="0" borderId="0" xfId="12" applyNumberFormat="1" applyFont="1" applyFill="1" applyBorder="1"/>
    <xf numFmtId="9" fontId="44" fillId="0" borderId="30" xfId="2" applyFont="1" applyBorder="1"/>
    <xf numFmtId="3" fontId="7" fillId="0" borderId="3" xfId="0" applyNumberFormat="1" applyFont="1" applyBorder="1" applyAlignment="1">
      <alignment horizontal="center"/>
    </xf>
    <xf numFmtId="181" fontId="48" fillId="20" borderId="64" xfId="0" applyNumberFormat="1" applyFont="1" applyFill="1" applyBorder="1" applyAlignment="1">
      <alignment horizontal="center"/>
    </xf>
    <xf numFmtId="41" fontId="0" fillId="20" borderId="0" xfId="0" applyNumberFormat="1" applyFill="1"/>
    <xf numFmtId="0" fontId="47" fillId="20" borderId="6" xfId="0" applyFont="1" applyFill="1" applyBorder="1" applyAlignment="1">
      <alignment horizontal="center"/>
    </xf>
    <xf numFmtId="41" fontId="0" fillId="0" borderId="18" xfId="0" applyNumberFormat="1" applyFont="1" applyFill="1" applyBorder="1"/>
    <xf numFmtId="0" fontId="0" fillId="5" borderId="0" xfId="0" applyFill="1"/>
    <xf numFmtId="10" fontId="0" fillId="0" borderId="0" xfId="0" applyNumberFormat="1" applyBorder="1" applyAlignment="1">
      <alignment horizontal="left"/>
    </xf>
    <xf numFmtId="41" fontId="1" fillId="0" borderId="18" xfId="1" applyNumberFormat="1" applyBorder="1"/>
    <xf numFmtId="41" fontId="21" fillId="14" borderId="43" xfId="12" applyNumberFormat="1" applyFill="1" applyBorder="1"/>
    <xf numFmtId="41" fontId="29" fillId="12" borderId="65" xfId="10" applyNumberFormat="1" applyFont="1" applyBorder="1"/>
    <xf numFmtId="0" fontId="14" fillId="17" borderId="3" xfId="14" applyBorder="1"/>
    <xf numFmtId="175" fontId="22" fillId="16" borderId="66" xfId="13" applyFill="1" applyBorder="1"/>
    <xf numFmtId="175" fontId="22" fillId="16" borderId="67" xfId="13" applyFill="1" applyBorder="1"/>
    <xf numFmtId="41" fontId="44" fillId="0" borderId="0" xfId="1" applyNumberFormat="1" applyFont="1" applyFill="1" applyBorder="1"/>
    <xf numFmtId="41" fontId="1" fillId="0" borderId="57" xfId="1" applyNumberFormat="1" applyFill="1" applyBorder="1"/>
    <xf numFmtId="41" fontId="44" fillId="0" borderId="45" xfId="1" applyNumberFormat="1" applyFont="1" applyBorder="1"/>
    <xf numFmtId="41" fontId="44" fillId="0" borderId="30" xfId="1" applyNumberFormat="1" applyFont="1" applyBorder="1"/>
    <xf numFmtId="41" fontId="44" fillId="0" borderId="57" xfId="1" applyNumberFormat="1" applyFont="1" applyFill="1" applyBorder="1"/>
    <xf numFmtId="41" fontId="44" fillId="0" borderId="18" xfId="1" applyNumberFormat="1" applyFont="1" applyFill="1" applyBorder="1"/>
    <xf numFmtId="41" fontId="2" fillId="0" borderId="56" xfId="0" applyNumberFormat="1" applyFont="1" applyFill="1" applyBorder="1"/>
    <xf numFmtId="41" fontId="2" fillId="0" borderId="33" xfId="0" applyNumberFormat="1" applyFont="1" applyFill="1" applyBorder="1"/>
    <xf numFmtId="41" fontId="2" fillId="0" borderId="56" xfId="0" applyNumberFormat="1" applyFont="1" applyBorder="1"/>
    <xf numFmtId="41" fontId="2" fillId="0" borderId="33" xfId="0" applyNumberFormat="1" applyFont="1" applyBorder="1"/>
    <xf numFmtId="178" fontId="14" fillId="0" borderId="0" xfId="14" applyNumberFormat="1" applyFill="1" applyBorder="1"/>
    <xf numFmtId="41" fontId="14" fillId="0" borderId="0" xfId="15" applyNumberFormat="1" applyFill="1" applyBorder="1"/>
    <xf numFmtId="178" fontId="14" fillId="17" borderId="3" xfId="14" applyNumberFormat="1" applyBorder="1"/>
    <xf numFmtId="41" fontId="14" fillId="0" borderId="68" xfId="15" applyNumberFormat="1" applyBorder="1"/>
    <xf numFmtId="0" fontId="49" fillId="0" borderId="0" xfId="0" applyFont="1" applyFill="1" applyBorder="1"/>
    <xf numFmtId="41" fontId="43" fillId="0" borderId="57" xfId="1" applyNumberFormat="1" applyFont="1" applyBorder="1"/>
    <xf numFmtId="0" fontId="43" fillId="0" borderId="0" xfId="0" applyFont="1" applyBorder="1" applyAlignment="1">
      <alignment horizontal="left"/>
    </xf>
    <xf numFmtId="0" fontId="0" fillId="20" borderId="28" xfId="0" applyFill="1" applyBorder="1"/>
    <xf numFmtId="183" fontId="0" fillId="20" borderId="69" xfId="0" applyNumberFormat="1" applyFill="1" applyBorder="1" applyAlignment="1">
      <alignment horizontal="center"/>
    </xf>
    <xf numFmtId="0" fontId="33" fillId="0" borderId="0" xfId="0" applyFont="1" applyBorder="1"/>
    <xf numFmtId="0" fontId="36" fillId="0" borderId="0" xfId="7" applyFont="1" applyFill="1" applyBorder="1">
      <alignment horizontal="left"/>
    </xf>
    <xf numFmtId="41" fontId="50" fillId="12" borderId="39" xfId="10" applyNumberFormat="1" applyFont="1"/>
    <xf numFmtId="41" fontId="33" fillId="0" borderId="56" xfId="0" applyNumberFormat="1" applyFont="1" applyBorder="1"/>
    <xf numFmtId="41" fontId="33" fillId="0" borderId="33" xfId="0" applyNumberFormat="1" applyFont="1" applyBorder="1"/>
    <xf numFmtId="0" fontId="35" fillId="0" borderId="0" xfId="0" applyFont="1" applyBorder="1"/>
    <xf numFmtId="0" fontId="50" fillId="0" borderId="0" xfId="7" applyFont="1" applyFill="1" applyBorder="1">
      <alignment horizontal="left"/>
    </xf>
    <xf numFmtId="41" fontId="33" fillId="0" borderId="57" xfId="0" applyNumberFormat="1" applyFont="1" applyBorder="1"/>
    <xf numFmtId="41" fontId="33" fillId="0" borderId="18" xfId="0" applyNumberFormat="1" applyFont="1" applyBorder="1"/>
    <xf numFmtId="181" fontId="0" fillId="20" borderId="25" xfId="0" applyNumberFormat="1" applyFill="1" applyBorder="1" applyAlignment="1">
      <alignment horizontal="right"/>
    </xf>
    <xf numFmtId="181" fontId="0" fillId="20" borderId="0" xfId="0" applyNumberFormat="1" applyFill="1"/>
    <xf numFmtId="41" fontId="1" fillId="6" borderId="0" xfId="1" applyNumberFormat="1" applyFill="1" applyBorder="1" applyAlignment="1"/>
    <xf numFmtId="0" fontId="0" fillId="20" borderId="69" xfId="0" applyFill="1" applyBorder="1" applyAlignment="1">
      <alignment horizontal="center"/>
    </xf>
    <xf numFmtId="183" fontId="0" fillId="20" borderId="28" xfId="0" applyNumberFormat="1" applyFill="1" applyBorder="1" applyAlignment="1">
      <alignment horizontal="center"/>
    </xf>
    <xf numFmtId="0" fontId="38" fillId="9" borderId="2" xfId="9" applyFont="1" applyBorder="1" applyAlignment="1">
      <alignment horizontal="center" vertical="center"/>
    </xf>
    <xf numFmtId="41" fontId="0" fillId="8" borderId="0" xfId="0" applyNumberFormat="1" applyFill="1" applyBorder="1"/>
    <xf numFmtId="0" fontId="53" fillId="0" borderId="0" xfId="0" applyFont="1" applyFill="1" applyBorder="1"/>
    <xf numFmtId="0" fontId="53" fillId="0" borderId="0" xfId="0" applyFont="1" applyAlignment="1">
      <alignment horizontal="right"/>
    </xf>
    <xf numFmtId="41" fontId="2" fillId="3" borderId="0" xfId="1" applyNumberFormat="1" applyFont="1" applyFill="1" applyBorder="1"/>
    <xf numFmtId="184" fontId="11" fillId="0" borderId="35" xfId="0" applyNumberFormat="1" applyFont="1" applyBorder="1" applyAlignment="1">
      <alignment horizontal="right"/>
    </xf>
    <xf numFmtId="166" fontId="38" fillId="3" borderId="0" xfId="8" applyNumberFormat="1" applyFont="1" applyFill="1" applyBorder="1" applyAlignment="1" applyProtection="1">
      <protection locked="0"/>
    </xf>
    <xf numFmtId="9" fontId="38" fillId="3" borderId="0" xfId="2" applyFont="1" applyFill="1" applyBorder="1" applyAlignment="1" applyProtection="1">
      <alignment horizontal="right"/>
      <protection locked="0"/>
    </xf>
    <xf numFmtId="10" fontId="38" fillId="3" borderId="3" xfId="8" applyNumberFormat="1" applyFont="1" applyFill="1" applyBorder="1" applyAlignment="1" applyProtection="1">
      <protection locked="0"/>
    </xf>
    <xf numFmtId="173" fontId="38" fillId="3" borderId="0" xfId="8" applyNumberFormat="1" applyFont="1" applyFill="1" applyBorder="1" applyAlignment="1" applyProtection="1">
      <alignment horizontal="right"/>
      <protection locked="0"/>
    </xf>
    <xf numFmtId="10" fontId="38" fillId="3" borderId="0" xfId="8" applyNumberFormat="1" applyFont="1" applyFill="1" applyBorder="1" applyAlignment="1" applyProtection="1">
      <protection locked="0"/>
    </xf>
    <xf numFmtId="0" fontId="27" fillId="3" borderId="0" xfId="0" applyFont="1" applyFill="1" applyBorder="1" applyAlignment="1" applyProtection="1">
      <alignment horizontal="right"/>
      <protection locked="0"/>
    </xf>
    <xf numFmtId="10" fontId="27" fillId="3" borderId="0" xfId="0" applyNumberFormat="1" applyFont="1" applyFill="1" applyBorder="1" applyAlignment="1" applyProtection="1">
      <alignment horizontal="right"/>
      <protection locked="0"/>
    </xf>
    <xf numFmtId="166" fontId="27" fillId="3" borderId="0" xfId="0" applyNumberFormat="1" applyFont="1" applyFill="1" applyBorder="1" applyAlignment="1" applyProtection="1">
      <alignment horizontal="right"/>
      <protection locked="0"/>
    </xf>
    <xf numFmtId="168" fontId="27" fillId="3" borderId="3" xfId="0" applyNumberFormat="1" applyFont="1" applyFill="1" applyBorder="1" applyAlignment="1" applyProtection="1">
      <alignment horizontal="center"/>
      <protection locked="0"/>
    </xf>
    <xf numFmtId="173" fontId="38" fillId="3" borderId="3" xfId="8" applyNumberFormat="1" applyFont="1" applyFill="1" applyBorder="1" applyProtection="1">
      <alignment horizontal="center"/>
      <protection locked="0"/>
    </xf>
    <xf numFmtId="3" fontId="0" fillId="3" borderId="9" xfId="0" applyNumberFormat="1" applyFill="1" applyBorder="1" applyAlignment="1" applyProtection="1">
      <alignment horizontal="center"/>
      <protection locked="0"/>
    </xf>
    <xf numFmtId="3" fontId="0" fillId="3" borderId="11" xfId="0" applyNumberFormat="1" applyFill="1" applyBorder="1" applyAlignment="1" applyProtection="1">
      <alignment horizontal="center"/>
      <protection locked="0"/>
    </xf>
    <xf numFmtId="3" fontId="0" fillId="3" borderId="11" xfId="0" applyNumberFormat="1" applyFont="1" applyFill="1" applyBorder="1" applyAlignment="1" applyProtection="1">
      <alignment horizontal="center"/>
      <protection locked="0"/>
    </xf>
    <xf numFmtId="3" fontId="0" fillId="3" borderId="13" xfId="0" applyNumberFormat="1" applyFont="1" applyFill="1" applyBorder="1" applyAlignment="1" applyProtection="1">
      <alignment horizontal="center"/>
      <protection locked="0"/>
    </xf>
    <xf numFmtId="9" fontId="0" fillId="3" borderId="15" xfId="2" applyNumberFormat="1" applyFont="1" applyFill="1" applyBorder="1" applyAlignment="1" applyProtection="1">
      <alignment horizontal="center"/>
      <protection locked="0"/>
    </xf>
    <xf numFmtId="164" fontId="0" fillId="3" borderId="11" xfId="2" applyNumberFormat="1" applyFont="1" applyFill="1" applyBorder="1" applyAlignment="1" applyProtection="1">
      <alignment horizontal="center"/>
      <protection locked="0"/>
    </xf>
    <xf numFmtId="164" fontId="0" fillId="3" borderId="13" xfId="2" applyNumberFormat="1" applyFont="1" applyFill="1" applyBorder="1" applyAlignment="1" applyProtection="1">
      <alignment horizontal="center"/>
      <protection locked="0"/>
    </xf>
    <xf numFmtId="164" fontId="0" fillId="3" borderId="11" xfId="0" applyNumberFormat="1" applyFont="1" applyFill="1" applyBorder="1" applyAlignment="1" applyProtection="1">
      <alignment horizontal="center"/>
      <protection locked="0"/>
    </xf>
    <xf numFmtId="164" fontId="0" fillId="3" borderId="17" xfId="0" applyNumberFormat="1" applyFill="1" applyBorder="1" applyAlignment="1" applyProtection="1">
      <alignment horizontal="center"/>
      <protection locked="0"/>
    </xf>
    <xf numFmtId="3" fontId="0" fillId="3" borderId="0" xfId="0" applyNumberFormat="1" applyFill="1" applyBorder="1" applyAlignment="1" applyProtection="1">
      <alignment horizontal="center" vertical="center"/>
      <protection locked="0"/>
    </xf>
    <xf numFmtId="3" fontId="33" fillId="3" borderId="0" xfId="0" applyNumberFormat="1" applyFont="1" applyFill="1" applyBorder="1" applyAlignment="1" applyProtection="1">
      <alignment horizontal="center" vertical="center"/>
      <protection locked="0"/>
    </xf>
    <xf numFmtId="3" fontId="0" fillId="0" borderId="0" xfId="0" applyNumberForma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Fill="1" applyBorder="1" applyAlignment="1" applyProtection="1">
      <alignment horizontal="center" vertical="center"/>
      <protection locked="0"/>
    </xf>
    <xf numFmtId="3" fontId="33" fillId="0" borderId="0" xfId="0" applyNumberFormat="1" applyFont="1" applyBorder="1" applyAlignment="1" applyProtection="1">
      <alignment horizontal="center" vertical="center"/>
      <protection locked="0"/>
    </xf>
    <xf numFmtId="3" fontId="33" fillId="0" borderId="23" xfId="0" applyNumberFormat="1" applyFont="1" applyBorder="1" applyAlignment="1" applyProtection="1">
      <alignment horizontal="center" vertical="center"/>
      <protection locked="0"/>
    </xf>
    <xf numFmtId="3" fontId="0" fillId="0" borderId="0" xfId="0" applyNumberFormat="1" applyBorder="1" applyAlignment="1" applyProtection="1">
      <alignment horizontal="center" vertical="center"/>
      <protection locked="0"/>
    </xf>
    <xf numFmtId="3" fontId="33" fillId="3" borderId="23" xfId="0" applyNumberFormat="1" applyFont="1" applyFill="1" applyBorder="1" applyAlignment="1" applyProtection="1">
      <alignment horizontal="center" vertical="center"/>
      <protection locked="0"/>
    </xf>
    <xf numFmtId="10" fontId="11" fillId="0" borderId="35" xfId="2" applyNumberFormat="1" applyFont="1" applyBorder="1" applyAlignment="1">
      <alignment horizontal="right"/>
    </xf>
    <xf numFmtId="10" fontId="11" fillId="0" borderId="37" xfId="2" applyNumberFormat="1" applyFont="1" applyBorder="1" applyAlignment="1">
      <alignment horizontal="right"/>
    </xf>
    <xf numFmtId="41" fontId="0" fillId="20" borderId="4" xfId="0" applyNumberFormat="1" applyFill="1" applyBorder="1"/>
    <xf numFmtId="0" fontId="0" fillId="20" borderId="23" xfId="0" applyFill="1" applyBorder="1"/>
    <xf numFmtId="0" fontId="54" fillId="0" borderId="0" xfId="0" applyFont="1"/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/>
    </xf>
    <xf numFmtId="0" fontId="38" fillId="9" borderId="2" xfId="9" applyFont="1" applyBorder="1" applyAlignment="1">
      <alignment horizontal="center" vertical="center"/>
    </xf>
    <xf numFmtId="0" fontId="38" fillId="9" borderId="5" xfId="9" applyFont="1" applyBorder="1" applyAlignment="1">
      <alignment horizontal="center" vertical="center"/>
    </xf>
    <xf numFmtId="0" fontId="42" fillId="19" borderId="26" xfId="0" applyFont="1" applyFill="1" applyBorder="1" applyAlignment="1">
      <alignment horizontal="center"/>
    </xf>
    <xf numFmtId="0" fontId="42" fillId="19" borderId="27" xfId="0" applyFont="1" applyFill="1" applyBorder="1" applyAlignment="1">
      <alignment horizontal="center"/>
    </xf>
    <xf numFmtId="0" fontId="42" fillId="19" borderId="28" xfId="0" applyFont="1" applyFill="1" applyBorder="1" applyAlignment="1">
      <alignment horizontal="center"/>
    </xf>
    <xf numFmtId="0" fontId="47" fillId="20" borderId="26" xfId="0" applyFont="1" applyFill="1" applyBorder="1" applyAlignment="1">
      <alignment horizontal="center"/>
    </xf>
    <xf numFmtId="0" fontId="47" fillId="20" borderId="27" xfId="0" applyFont="1" applyFill="1" applyBorder="1" applyAlignment="1">
      <alignment horizontal="center"/>
    </xf>
    <xf numFmtId="0" fontId="47" fillId="20" borderId="28" xfId="0" applyFont="1" applyFill="1" applyBorder="1" applyAlignment="1">
      <alignment horizontal="center"/>
    </xf>
  </cellXfs>
  <cellStyles count="22">
    <cellStyle name="Check" xfId="17"/>
    <cellStyle name="Empty_Cell" xfId="14"/>
    <cellStyle name="Flag" xfId="13"/>
    <cellStyle name="Header1_NPV_Calculation" xfId="5"/>
    <cellStyle name="Header2" xfId="19"/>
    <cellStyle name="Header2_NPV_Calculation" xfId="6"/>
    <cellStyle name="Header3" xfId="20"/>
    <cellStyle name="Info" xfId="7"/>
    <cellStyle name="Input" xfId="8"/>
    <cellStyle name="Inputs_Divider_NPV_Calculation" xfId="4"/>
    <cellStyle name="InSheet" xfId="16"/>
    <cellStyle name="Line_ClosingBal" xfId="15"/>
    <cellStyle name="line_summary_NPV_Calculation" xfId="10"/>
    <cellStyle name="Milliers" xfId="1" builtinId="3"/>
    <cellStyle name="Normal" xfId="0" builtinId="0"/>
    <cellStyle name="OffSheet" xfId="12"/>
    <cellStyle name="Pourcentage" xfId="2" builtinId="5"/>
    <cellStyle name="SheetHeader1_NPV_Calculation" xfId="3"/>
    <cellStyle name="Table_Heading" xfId="21"/>
    <cellStyle name="Table_Heading_NPV_Calculation" xfId="9"/>
    <cellStyle name="Technical_Input_NPV_Calculation" xfId="11"/>
    <cellStyle name="Unit" xfId="18"/>
  </cellStyles>
  <dxfs count="1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50"/>
      </font>
      <fill>
        <patternFill patternType="lightUp">
          <fgColor indexed="50"/>
          <bgColor indexed="26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ont>
        <condense val="0"/>
        <extend val="0"/>
        <color indexed="55"/>
      </font>
    </dxf>
    <dxf>
      <fill>
        <patternFill>
          <bgColor rgb="FFFF0000"/>
        </patternFill>
      </fill>
    </dxf>
    <dxf>
      <font>
        <condense val="0"/>
        <extend val="0"/>
        <color indexed="57"/>
      </font>
      <fill>
        <patternFill patternType="lightUp">
          <fgColor indexed="57"/>
          <bgColor indexed="42"/>
        </patternFill>
      </fill>
      <border>
        <left style="thin">
          <color indexed="57"/>
        </left>
        <right style="thin">
          <color indexed="57"/>
        </right>
        <top style="thin">
          <color indexed="57"/>
        </top>
        <bottom style="thin">
          <color indexed="57"/>
        </bottom>
      </border>
    </dxf>
    <dxf>
      <font>
        <condense val="0"/>
        <extend val="0"/>
        <color indexed="10"/>
      </font>
      <fill>
        <patternFill patternType="lightUp">
          <fgColor indexed="10"/>
          <bgColor indexed="45"/>
        </patternFill>
      </fill>
      <border>
        <left style="thin">
          <color indexed="10"/>
        </left>
        <right style="thin">
          <color indexed="10"/>
        </right>
        <top style="thin">
          <color indexed="10"/>
        </top>
        <bottom style="thin">
          <color indexed="10"/>
        </bottom>
      </border>
    </dxf>
    <dxf>
      <font>
        <condense val="0"/>
        <extend val="0"/>
        <color indexed="55"/>
      </font>
    </dxf>
    <dxf>
      <font>
        <condense val="0"/>
        <extend val="0"/>
        <color indexed="50"/>
      </font>
      <fill>
        <patternFill patternType="lightUp">
          <fgColor indexed="50"/>
          <bgColor indexed="26"/>
        </patternFill>
      </fill>
      <border>
        <left style="thin">
          <color indexed="17"/>
        </left>
        <right style="thin">
          <color indexed="17"/>
        </right>
        <top style="thin">
          <color indexed="17"/>
        </top>
        <bottom style="thin">
          <color indexed="17"/>
        </bottom>
      </border>
    </dxf>
    <dxf>
      <font>
        <condense val="0"/>
        <extend val="0"/>
        <color indexed="5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06/relationships/vbaProject" Target="vbaProject.bin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b="1"/>
              <a:t>Aportacion</a:t>
            </a:r>
            <a:r>
              <a:rPr lang="fr-FR" b="1" baseline="0"/>
              <a:t> Municipal (valor nominal)</a:t>
            </a:r>
            <a:endParaRPr lang="fr-F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Deuda Municipal - Intereses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'Project Finance Model'!$F$241:$AM$241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586853.53024427872</c:v>
                </c:pt>
                <c:pt idx="2">
                  <c:v>2978035.8640793907</c:v>
                </c:pt>
                <c:pt idx="3">
                  <c:v>9222765.7542621493</c:v>
                </c:pt>
                <c:pt idx="4">
                  <c:v>11359216.849373603</c:v>
                </c:pt>
                <c:pt idx="5">
                  <c:v>10825812.700779062</c:v>
                </c:pt>
                <c:pt idx="6">
                  <c:v>10192451.883767067</c:v>
                </c:pt>
                <c:pt idx="7">
                  <c:v>9546689.679719232</c:v>
                </c:pt>
                <c:pt idx="8">
                  <c:v>8855724.1213880479</c:v>
                </c:pt>
                <c:pt idx="9">
                  <c:v>8139390.5273717605</c:v>
                </c:pt>
                <c:pt idx="10">
                  <c:v>7325869.4484354807</c:v>
                </c:pt>
                <c:pt idx="11">
                  <c:v>6479341.6470712153</c:v>
                </c:pt>
                <c:pt idx="12">
                  <c:v>5573556.8996114517</c:v>
                </c:pt>
                <c:pt idx="13">
                  <c:v>4617414.6925395308</c:v>
                </c:pt>
                <c:pt idx="14">
                  <c:v>3567638.8226890233</c:v>
                </c:pt>
                <c:pt idx="15">
                  <c:v>2457918.8243410112</c:v>
                </c:pt>
                <c:pt idx="16">
                  <c:v>1270518.4261086383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1"/>
          <c:tx>
            <c:v>Deuda Municipal - Principal</c:v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val>
            <c:numRef>
              <c:f>'Project Finance Model'!$F$242:$AM$242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299272.69118952251</c:v>
                </c:pt>
                <c:pt idx="2">
                  <c:v>1692997.4222453861</c:v>
                </c:pt>
                <c:pt idx="3">
                  <c:v>5842614.018256329</c:v>
                </c:pt>
                <c:pt idx="4">
                  <c:v>8057067.8676437605</c:v>
                </c:pt>
                <c:pt idx="5">
                  <c:v>8611003.0695924349</c:v>
                </c:pt>
                <c:pt idx="6">
                  <c:v>9225174.3435404915</c:v>
                </c:pt>
                <c:pt idx="7">
                  <c:v>9870936.5475883298</c:v>
                </c:pt>
                <c:pt idx="8">
                  <c:v>10561902.105919514</c:v>
                </c:pt>
                <c:pt idx="9">
                  <c:v>11293164.650545698</c:v>
                </c:pt>
                <c:pt idx="10">
                  <c:v>12093254.305203784</c:v>
                </c:pt>
                <c:pt idx="11">
                  <c:v>12939782.10656805</c:v>
                </c:pt>
                <c:pt idx="12">
                  <c:v>13845566.854027811</c:v>
                </c:pt>
                <c:pt idx="13">
                  <c:v>14810405.67343542</c:v>
                </c:pt>
                <c:pt idx="14">
                  <c:v>15853142.833543014</c:v>
                </c:pt>
                <c:pt idx="15">
                  <c:v>16962862.831891026</c:v>
                </c:pt>
                <c:pt idx="16">
                  <c:v>18150263.230123401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</c:ser>
        <c:ser>
          <c:idx val="1"/>
          <c:order val="2"/>
          <c:tx>
            <c:v>Subsidios municipales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'Project Finance Model'!$F$240:$AM$240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441740.53437499993</c:v>
                </c:pt>
                <c:pt idx="5">
                  <c:v>452784.04773437488</c:v>
                </c:pt>
                <c:pt idx="6">
                  <c:v>461839.72868906241</c:v>
                </c:pt>
                <c:pt idx="7">
                  <c:v>471076.52326284366</c:v>
                </c:pt>
                <c:pt idx="8">
                  <c:v>480498.05372810055</c:v>
                </c:pt>
                <c:pt idx="9">
                  <c:v>490108.0148026626</c:v>
                </c:pt>
                <c:pt idx="10">
                  <c:v>499910.17509871587</c:v>
                </c:pt>
                <c:pt idx="11">
                  <c:v>509908.37860069022</c:v>
                </c:pt>
                <c:pt idx="12">
                  <c:v>520106.54617270402</c:v>
                </c:pt>
                <c:pt idx="13">
                  <c:v>530508.67709615815</c:v>
                </c:pt>
                <c:pt idx="14">
                  <c:v>541118.85063808132</c:v>
                </c:pt>
                <c:pt idx="15">
                  <c:v>551941.22765084298</c:v>
                </c:pt>
                <c:pt idx="16">
                  <c:v>562980.0522038599</c:v>
                </c:pt>
                <c:pt idx="17">
                  <c:v>574239.65324793709</c:v>
                </c:pt>
                <c:pt idx="18">
                  <c:v>585724.44631289586</c:v>
                </c:pt>
                <c:pt idx="19">
                  <c:v>597438.9352391538</c:v>
                </c:pt>
                <c:pt idx="20">
                  <c:v>609387.71394393686</c:v>
                </c:pt>
                <c:pt idx="21">
                  <c:v>621575.46822281566</c:v>
                </c:pt>
                <c:pt idx="22">
                  <c:v>634006.97758727195</c:v>
                </c:pt>
                <c:pt idx="23">
                  <c:v>646687.11713901744</c:v>
                </c:pt>
                <c:pt idx="24">
                  <c:v>659620.85948179779</c:v>
                </c:pt>
                <c:pt idx="25">
                  <c:v>672813.2766714337</c:v>
                </c:pt>
                <c:pt idx="26">
                  <c:v>686269.54220486234</c:v>
                </c:pt>
                <c:pt idx="27">
                  <c:v>699994.93304895959</c:v>
                </c:pt>
                <c:pt idx="28">
                  <c:v>713994.83170993882</c:v>
                </c:pt>
                <c:pt idx="29">
                  <c:v>728274.72834413766</c:v>
                </c:pt>
                <c:pt idx="30">
                  <c:v>742840.22291102039</c:v>
                </c:pt>
                <c:pt idx="31">
                  <c:v>757697.02736924076</c:v>
                </c:pt>
                <c:pt idx="32">
                  <c:v>772850.96791662555</c:v>
                </c:pt>
                <c:pt idx="33">
                  <c:v>788307.98727495805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3"/>
          <c:tx>
            <c:v>Transferencia de activos</c:v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'Project Finance Model'!$F$243:$AM$243</c:f>
              <c:numCache>
                <c:formatCode>_(* #,##0_);_(* \(#,##0\);_(* "-"_);_(@_)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'Project Finance Model'!$F$87:$AM$87</c15:sqref>
                        </c15:formulaRef>
                      </c:ext>
                    </c:extLst>
                    <c:numCache>
                      <c:formatCode>_(* #,##0_);_(* \(#,##0\);_(* "-"_);_(@_)</c:formatCode>
                      <c:ptCount val="34"/>
                      <c:pt idx="0">
                        <c:v>2015</c:v>
                      </c:pt>
                      <c:pt idx="1">
                        <c:v>2016</c:v>
                      </c:pt>
                      <c:pt idx="2">
                        <c:v>2017</c:v>
                      </c:pt>
                      <c:pt idx="3">
                        <c:v>2018</c:v>
                      </c:pt>
                      <c:pt idx="4">
                        <c:v>2019</c:v>
                      </c:pt>
                      <c:pt idx="5">
                        <c:v>2020</c:v>
                      </c:pt>
                      <c:pt idx="6">
                        <c:v>2021</c:v>
                      </c:pt>
                      <c:pt idx="7">
                        <c:v>2022</c:v>
                      </c:pt>
                      <c:pt idx="8">
                        <c:v>2023</c:v>
                      </c:pt>
                      <c:pt idx="9">
                        <c:v>2024</c:v>
                      </c:pt>
                      <c:pt idx="10">
                        <c:v>2025</c:v>
                      </c:pt>
                      <c:pt idx="11">
                        <c:v>2026</c:v>
                      </c:pt>
                      <c:pt idx="12">
                        <c:v>2027</c:v>
                      </c:pt>
                      <c:pt idx="13">
                        <c:v>2028</c:v>
                      </c:pt>
                      <c:pt idx="14">
                        <c:v>2029</c:v>
                      </c:pt>
                      <c:pt idx="15">
                        <c:v>2030</c:v>
                      </c:pt>
                      <c:pt idx="16">
                        <c:v>2031</c:v>
                      </c:pt>
                      <c:pt idx="17">
                        <c:v>2032</c:v>
                      </c:pt>
                      <c:pt idx="18">
                        <c:v>2033</c:v>
                      </c:pt>
                      <c:pt idx="19">
                        <c:v>2034</c:v>
                      </c:pt>
                      <c:pt idx="20">
                        <c:v>2035</c:v>
                      </c:pt>
                      <c:pt idx="21">
                        <c:v>2036</c:v>
                      </c:pt>
                      <c:pt idx="22">
                        <c:v>2037</c:v>
                      </c:pt>
                      <c:pt idx="23">
                        <c:v>2038</c:v>
                      </c:pt>
                      <c:pt idx="24">
                        <c:v>2039</c:v>
                      </c:pt>
                      <c:pt idx="25">
                        <c:v>2040</c:v>
                      </c:pt>
                      <c:pt idx="26">
                        <c:v>2041</c:v>
                      </c:pt>
                      <c:pt idx="27">
                        <c:v>2042</c:v>
                      </c:pt>
                      <c:pt idx="28">
                        <c:v>2043</c:v>
                      </c:pt>
                      <c:pt idx="29">
                        <c:v>2044</c:v>
                      </c:pt>
                      <c:pt idx="30">
                        <c:v>2045</c:v>
                      </c:pt>
                      <c:pt idx="31">
                        <c:v>2046</c:v>
                      </c:pt>
                      <c:pt idx="32">
                        <c:v>2047</c:v>
                      </c:pt>
                      <c:pt idx="33">
                        <c:v>2048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289316192"/>
        <c:axId val="288494312"/>
      </c:barChart>
      <c:catAx>
        <c:axId val="289316192"/>
        <c:scaling>
          <c:orientation val="minMax"/>
        </c:scaling>
        <c:delete val="0"/>
        <c:axPos val="b"/>
        <c:numFmt formatCode="_(* #,##0_);_(* \(#,##0\);_(* &quot;-&quot;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8494312"/>
        <c:crosses val="autoZero"/>
        <c:auto val="1"/>
        <c:lblAlgn val="ctr"/>
        <c:lblOffset val="100"/>
        <c:noMultiLvlLbl val="0"/>
      </c:catAx>
      <c:valAx>
        <c:axId val="288494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$-409]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8931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747711</xdr:colOff>
      <xdr:row>17</xdr:row>
      <xdr:rowOff>95249</xdr:rowOff>
    </xdr:from>
    <xdr:to>
      <xdr:col>7</xdr:col>
      <xdr:colOff>390524</xdr:colOff>
      <xdr:row>42</xdr:row>
      <xdr:rowOff>38100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C10"/>
  <sheetViews>
    <sheetView tabSelected="1" workbookViewId="0">
      <selection activeCell="G17" sqref="G17"/>
    </sheetView>
  </sheetViews>
  <sheetFormatPr baseColWidth="10" defaultRowHeight="14.4" x14ac:dyDescent="0.3"/>
  <sheetData>
    <row r="10" spans="3:3" ht="23.4" x14ac:dyDescent="0.45">
      <c r="C10" s="474" t="s">
        <v>359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U126"/>
  <sheetViews>
    <sheetView topLeftCell="A58" workbookViewId="0">
      <selection activeCell="B87" sqref="B87"/>
    </sheetView>
  </sheetViews>
  <sheetFormatPr baseColWidth="10" defaultRowHeight="14.4" x14ac:dyDescent="0.3"/>
  <cols>
    <col min="2" max="2" width="51.6640625" bestFit="1" customWidth="1"/>
    <col min="3" max="3" width="16.5546875" bestFit="1" customWidth="1"/>
    <col min="36" max="36" width="16.6640625" bestFit="1" customWidth="1"/>
    <col min="37" max="45" width="11.6640625" bestFit="1" customWidth="1"/>
    <col min="46" max="46" width="15.5546875" bestFit="1" customWidth="1"/>
  </cols>
  <sheetData>
    <row r="1" spans="1:43" x14ac:dyDescent="0.3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5"/>
    </row>
    <row r="2" spans="1:43" x14ac:dyDescent="0.3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5"/>
    </row>
    <row r="3" spans="1:43" x14ac:dyDescent="0.3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5"/>
    </row>
    <row r="4" spans="1:43" x14ac:dyDescent="0.3">
      <c r="A4" s="2"/>
      <c r="B4" s="475" t="s">
        <v>0</v>
      </c>
      <c r="C4" s="6" t="s">
        <v>1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5"/>
    </row>
    <row r="5" spans="1:43" x14ac:dyDescent="0.3">
      <c r="A5" s="2"/>
      <c r="B5" s="476"/>
      <c r="C5" s="7" t="s">
        <v>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5"/>
    </row>
    <row r="6" spans="1:43" x14ac:dyDescent="0.3">
      <c r="A6" s="2"/>
      <c r="B6" s="476"/>
      <c r="C6" s="8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5"/>
    </row>
    <row r="7" spans="1:43" x14ac:dyDescent="0.3">
      <c r="A7" s="2"/>
      <c r="B7" s="477"/>
      <c r="C7" s="9" t="s">
        <v>4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5"/>
    </row>
    <row r="8" spans="1:43" x14ac:dyDescent="0.3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5"/>
    </row>
    <row r="9" spans="1:43" ht="15" thickBot="1" x14ac:dyDescent="0.3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5"/>
    </row>
    <row r="10" spans="1:43" ht="15" thickBot="1" x14ac:dyDescent="0.35">
      <c r="A10" s="2"/>
      <c r="B10" s="10" t="s">
        <v>5</v>
      </c>
      <c r="C10" s="11"/>
      <c r="D10" s="12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5"/>
    </row>
    <row r="11" spans="1:43" x14ac:dyDescent="0.3">
      <c r="A11" s="2"/>
      <c r="B11" s="13" t="s">
        <v>6</v>
      </c>
      <c r="C11" s="453">
        <v>164199233.95965779</v>
      </c>
      <c r="D11" s="14"/>
      <c r="E11" s="3"/>
      <c r="F11" s="3"/>
      <c r="H11" s="3"/>
      <c r="I11" s="15"/>
      <c r="J11" s="16"/>
      <c r="K11" s="3"/>
      <c r="L11" s="3"/>
      <c r="M11" s="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5"/>
    </row>
    <row r="12" spans="1:43" x14ac:dyDescent="0.3">
      <c r="A12" s="2"/>
      <c r="B12" s="17" t="s">
        <v>7</v>
      </c>
      <c r="C12" s="454">
        <v>170011097.07224563</v>
      </c>
      <c r="D12" s="18"/>
      <c r="E12" s="3"/>
      <c r="F12" s="3"/>
      <c r="H12" s="3"/>
      <c r="I12" s="15"/>
      <c r="J12" s="16"/>
      <c r="K12" s="3"/>
      <c r="L12" s="3"/>
      <c r="M12" s="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5"/>
    </row>
    <row r="13" spans="1:43" x14ac:dyDescent="0.3">
      <c r="A13" s="2"/>
      <c r="B13" s="17" t="s">
        <v>8</v>
      </c>
      <c r="C13" s="454">
        <v>5811863.1125878394</v>
      </c>
      <c r="D13" s="18"/>
      <c r="E13" s="3"/>
      <c r="F13" s="3"/>
      <c r="H13" s="3"/>
      <c r="I13" s="15"/>
      <c r="J13" s="16"/>
      <c r="K13" s="3"/>
      <c r="L13" s="3"/>
      <c r="M13" s="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5"/>
    </row>
    <row r="14" spans="1:43" x14ac:dyDescent="0.3">
      <c r="A14" s="2"/>
      <c r="B14" s="19" t="s">
        <v>9</v>
      </c>
      <c r="C14" s="455">
        <v>0</v>
      </c>
      <c r="D14" s="3"/>
      <c r="E14" s="3"/>
      <c r="F14" s="3"/>
      <c r="H14" s="3"/>
      <c r="I14" s="20"/>
      <c r="J14" s="21"/>
      <c r="K14" s="21"/>
      <c r="L14" s="3"/>
      <c r="M14" s="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5"/>
    </row>
    <row r="15" spans="1:43" x14ac:dyDescent="0.3">
      <c r="A15" s="2"/>
      <c r="B15" s="22" t="s">
        <v>10</v>
      </c>
      <c r="C15" s="456">
        <v>20</v>
      </c>
      <c r="D15" s="3"/>
      <c r="E15" s="3"/>
      <c r="F15" s="3"/>
      <c r="H15" s="3"/>
      <c r="I15" s="20"/>
      <c r="J15" s="21"/>
      <c r="K15" s="21"/>
      <c r="L15" s="3"/>
      <c r="M15" s="3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5"/>
    </row>
    <row r="16" spans="1:43" x14ac:dyDescent="0.3">
      <c r="A16" s="2"/>
      <c r="B16" s="23" t="s">
        <v>11</v>
      </c>
      <c r="C16" s="457"/>
      <c r="D16" s="3"/>
      <c r="E16" s="3"/>
      <c r="F16" s="3"/>
      <c r="H16" s="3"/>
      <c r="I16" s="21"/>
      <c r="J16" s="21"/>
      <c r="K16" s="21"/>
      <c r="L16" s="3"/>
      <c r="M16" s="3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5"/>
    </row>
    <row r="17" spans="1:47" x14ac:dyDescent="0.3">
      <c r="A17" s="24"/>
      <c r="B17" s="25" t="s">
        <v>12</v>
      </c>
      <c r="C17" s="458">
        <v>0.24744440840120696</v>
      </c>
      <c r="D17" s="26" t="s">
        <v>13</v>
      </c>
      <c r="E17" s="27"/>
      <c r="F17" s="27"/>
      <c r="G17" s="28"/>
      <c r="H17" s="27"/>
      <c r="I17" s="29"/>
      <c r="J17" s="29"/>
      <c r="K17" s="29"/>
      <c r="L17" s="27"/>
      <c r="M17" s="27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28"/>
      <c r="AR17" s="28"/>
      <c r="AS17" s="28"/>
      <c r="AT17" s="28"/>
      <c r="AU17" s="28"/>
    </row>
    <row r="18" spans="1:47" x14ac:dyDescent="0.3">
      <c r="A18" s="2"/>
      <c r="B18" s="25" t="s">
        <v>14</v>
      </c>
      <c r="C18" s="458">
        <v>0.26817845640487142</v>
      </c>
      <c r="D18" s="26" t="s">
        <v>13</v>
      </c>
      <c r="E18" s="3"/>
      <c r="F18" s="3"/>
      <c r="H18" s="3"/>
      <c r="I18" s="21"/>
      <c r="J18" s="21"/>
      <c r="K18" s="21"/>
      <c r="L18" s="3"/>
      <c r="M18" s="3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5"/>
    </row>
    <row r="19" spans="1:47" x14ac:dyDescent="0.3">
      <c r="A19" s="2"/>
      <c r="B19" s="25" t="s">
        <v>15</v>
      </c>
      <c r="C19" s="458">
        <v>0.46970536429952042</v>
      </c>
      <c r="D19" s="26" t="s">
        <v>13</v>
      </c>
      <c r="E19" s="3"/>
      <c r="F19" s="3"/>
      <c r="H19" s="3"/>
      <c r="I19" s="21"/>
      <c r="J19" s="21"/>
      <c r="K19" s="21"/>
      <c r="L19" s="3"/>
      <c r="M19" s="3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5"/>
    </row>
    <row r="20" spans="1:47" x14ac:dyDescent="0.3">
      <c r="A20" s="2"/>
      <c r="B20" s="25" t="s">
        <v>16</v>
      </c>
      <c r="C20" s="458">
        <v>9.2072531041871061E-2</v>
      </c>
      <c r="D20" s="26" t="s">
        <v>13</v>
      </c>
      <c r="E20" s="3"/>
      <c r="F20" s="3"/>
      <c r="H20" s="3"/>
      <c r="I20" s="21"/>
      <c r="J20" s="21"/>
      <c r="K20" s="21"/>
      <c r="L20" s="3"/>
      <c r="M20" s="3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5"/>
    </row>
    <row r="21" spans="1:47" x14ac:dyDescent="0.3">
      <c r="A21" s="2"/>
      <c r="B21" s="25" t="s">
        <v>17</v>
      </c>
      <c r="C21" s="458">
        <v>3.5496329762908153E-2</v>
      </c>
      <c r="D21" s="26" t="s">
        <v>13</v>
      </c>
      <c r="E21" s="3"/>
      <c r="F21" s="3"/>
      <c r="H21" s="3"/>
      <c r="I21" s="21"/>
      <c r="J21" s="21"/>
      <c r="K21" s="21"/>
      <c r="L21" s="3"/>
      <c r="M21" s="3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5"/>
    </row>
    <row r="22" spans="1:47" x14ac:dyDescent="0.3">
      <c r="A22" s="2"/>
      <c r="B22" s="31" t="s">
        <v>18</v>
      </c>
      <c r="C22" s="459">
        <v>8.3947943970328898E-3</v>
      </c>
      <c r="D22" s="26" t="s">
        <v>13</v>
      </c>
      <c r="E22" s="3"/>
      <c r="F22" s="3"/>
      <c r="H22" s="3"/>
      <c r="I22" s="21"/>
      <c r="J22" s="21"/>
      <c r="K22" s="21"/>
      <c r="L22" s="3"/>
      <c r="M22" s="3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5"/>
    </row>
    <row r="23" spans="1:47" x14ac:dyDescent="0.3">
      <c r="A23" s="2"/>
      <c r="B23" s="19" t="s">
        <v>19</v>
      </c>
      <c r="C23" s="460">
        <v>0</v>
      </c>
      <c r="D23" s="18" t="s">
        <v>20</v>
      </c>
      <c r="E23" s="3"/>
      <c r="F23" s="3"/>
      <c r="H23" s="3"/>
      <c r="I23" s="21"/>
      <c r="J23" s="21"/>
      <c r="K23" s="32"/>
      <c r="L23" s="4"/>
      <c r="M23" s="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5"/>
    </row>
    <row r="24" spans="1:47" x14ac:dyDescent="0.3">
      <c r="A24" s="2"/>
      <c r="B24" s="19" t="s">
        <v>21</v>
      </c>
      <c r="C24" s="460">
        <v>0.35</v>
      </c>
      <c r="D24" s="3" t="s">
        <v>22</v>
      </c>
      <c r="E24" s="3"/>
      <c r="F24" s="3"/>
      <c r="H24" s="3"/>
      <c r="I24" s="21"/>
      <c r="J24" s="21"/>
      <c r="K24" s="32"/>
      <c r="L24" s="4"/>
      <c r="M24" s="3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5"/>
    </row>
    <row r="25" spans="1:47" x14ac:dyDescent="0.3">
      <c r="A25" s="2"/>
      <c r="B25" s="19" t="s">
        <v>23</v>
      </c>
      <c r="C25" s="460">
        <v>0.02</v>
      </c>
      <c r="D25" s="3"/>
      <c r="E25" s="3"/>
      <c r="F25" s="3"/>
      <c r="H25" s="3"/>
      <c r="I25" s="3"/>
      <c r="J25" s="3"/>
      <c r="K25" s="4"/>
      <c r="L25" s="4"/>
      <c r="M25" s="3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5"/>
    </row>
    <row r="26" spans="1:47" ht="15" thickBot="1" x14ac:dyDescent="0.35">
      <c r="A26" s="2"/>
      <c r="B26" s="33" t="s">
        <v>24</v>
      </c>
      <c r="C26" s="461">
        <v>0.13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5"/>
    </row>
    <row r="27" spans="1:47" x14ac:dyDescent="0.3">
      <c r="A27" s="2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K27" s="34"/>
      <c r="AL27" s="34"/>
      <c r="AM27" s="34"/>
      <c r="AN27" s="34"/>
      <c r="AO27" s="34"/>
      <c r="AP27" s="34"/>
      <c r="AQ27" s="34"/>
      <c r="AR27" s="34"/>
      <c r="AS27" s="34"/>
    </row>
    <row r="28" spans="1:47" ht="15" thickBot="1" x14ac:dyDescent="0.35">
      <c r="A28" s="2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K28" s="34"/>
      <c r="AL28" s="34"/>
      <c r="AM28" s="34"/>
      <c r="AN28" s="34"/>
      <c r="AO28" s="34"/>
      <c r="AP28" s="34"/>
      <c r="AQ28" s="34"/>
      <c r="AR28" s="34"/>
      <c r="AS28" s="34"/>
    </row>
    <row r="29" spans="1:47" x14ac:dyDescent="0.3">
      <c r="A29" s="2"/>
      <c r="B29" s="18"/>
      <c r="C29" s="190" t="s">
        <v>25</v>
      </c>
      <c r="D29" s="94"/>
      <c r="E29" s="94"/>
      <c r="F29" s="94"/>
      <c r="G29" s="94"/>
      <c r="H29" s="3"/>
      <c r="I29" s="3"/>
      <c r="J29" s="3"/>
      <c r="K29" s="3"/>
      <c r="L29" s="3"/>
      <c r="M29" s="3"/>
      <c r="N29" s="3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K29" s="34"/>
      <c r="AL29" s="34"/>
      <c r="AM29" s="34"/>
      <c r="AN29" s="34"/>
      <c r="AO29" s="34"/>
      <c r="AP29" s="34"/>
      <c r="AQ29" s="34"/>
      <c r="AR29" s="34"/>
      <c r="AS29" s="34"/>
    </row>
    <row r="30" spans="1:47" ht="15" thickBot="1" x14ac:dyDescent="0.35">
      <c r="A30" s="2"/>
      <c r="B30" s="18"/>
      <c r="C30" s="191" t="s">
        <v>126</v>
      </c>
      <c r="D30" s="95"/>
      <c r="E30" s="95"/>
      <c r="F30" s="95"/>
      <c r="G30" s="95"/>
      <c r="H30" s="3"/>
      <c r="I30" s="3"/>
      <c r="J30" s="3"/>
      <c r="K30" s="3"/>
      <c r="L30" s="3"/>
      <c r="M30" s="3"/>
      <c r="N30" s="3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7" x14ac:dyDescent="0.3">
      <c r="A31" s="2"/>
      <c r="B31" s="188" t="s">
        <v>26</v>
      </c>
      <c r="C31" s="192">
        <f>AJ104</f>
        <v>-3.1918165412558541E-2</v>
      </c>
      <c r="D31" s="96"/>
      <c r="E31" s="96"/>
      <c r="F31" s="96"/>
      <c r="G31" s="96"/>
      <c r="H31" s="3"/>
      <c r="I31" s="3"/>
      <c r="J31" s="3"/>
      <c r="K31" s="3"/>
      <c r="L31" s="3"/>
      <c r="M31" s="3"/>
      <c r="N31" s="3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7" ht="15" thickBot="1" x14ac:dyDescent="0.35">
      <c r="A32" s="2"/>
      <c r="B32" s="189" t="s">
        <v>27</v>
      </c>
      <c r="C32" s="193">
        <f>AJ116</f>
        <v>-120871774.2702049</v>
      </c>
      <c r="D32" s="97"/>
      <c r="E32" s="97"/>
      <c r="F32" s="97"/>
      <c r="G32" s="97"/>
      <c r="H32" s="3"/>
      <c r="I32" s="3"/>
      <c r="J32" s="3"/>
      <c r="K32" s="3"/>
      <c r="L32" s="3"/>
      <c r="M32" s="3"/>
      <c r="N32" s="3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7" x14ac:dyDescent="0.3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7" x14ac:dyDescent="0.3">
      <c r="A34" s="2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7" x14ac:dyDescent="0.3">
      <c r="A35" s="2"/>
      <c r="B35" s="18"/>
      <c r="C35" s="478" t="s">
        <v>216</v>
      </c>
      <c r="D35" s="478"/>
      <c r="E35" s="478"/>
      <c r="F35" s="478"/>
      <c r="G35" s="478"/>
      <c r="H35" s="478"/>
      <c r="I35" s="478"/>
      <c r="J35" s="3"/>
      <c r="K35" s="3"/>
      <c r="L35" s="3"/>
      <c r="M35" s="3"/>
      <c r="N35" s="3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7" x14ac:dyDescent="0.3">
      <c r="A36" s="2"/>
      <c r="B36" s="18"/>
      <c r="C36" s="391">
        <v>2020</v>
      </c>
      <c r="D36" s="391">
        <v>2025</v>
      </c>
      <c r="E36" s="391">
        <v>2030</v>
      </c>
      <c r="F36" s="391">
        <v>2035</v>
      </c>
      <c r="G36" s="391">
        <v>2040</v>
      </c>
      <c r="H36" s="391">
        <v>2045</v>
      </c>
      <c r="I36" s="391">
        <v>2050</v>
      </c>
      <c r="J36" s="3"/>
      <c r="K36" s="3"/>
      <c r="L36" s="3"/>
      <c r="M36" s="3"/>
      <c r="N36" s="3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7" x14ac:dyDescent="0.3">
      <c r="A37" s="2"/>
      <c r="B37" s="35" t="s">
        <v>28</v>
      </c>
      <c r="C37" s="36">
        <f>H112</f>
        <v>1.4702489246298311</v>
      </c>
      <c r="D37" s="36">
        <f>M112</f>
        <v>1.2543631890221043</v>
      </c>
      <c r="E37" s="36">
        <f>R112</f>
        <v>1.3030945366665971</v>
      </c>
      <c r="F37" s="36">
        <f>W112</f>
        <v>1.437097058335389</v>
      </c>
      <c r="G37" s="36">
        <f>AB112</f>
        <v>1.5734299055200558</v>
      </c>
      <c r="H37" s="36">
        <f>AG112</f>
        <v>1.5758482306782262</v>
      </c>
      <c r="I37" s="36">
        <f>AL112</f>
        <v>1.5164338472676815</v>
      </c>
      <c r="J37" s="3"/>
      <c r="K37" s="3"/>
      <c r="L37" s="3"/>
      <c r="M37" s="3"/>
      <c r="N37" s="3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7" x14ac:dyDescent="0.3">
      <c r="A38" s="2"/>
      <c r="B38" s="35" t="s">
        <v>29</v>
      </c>
      <c r="C38" s="36">
        <f>H113</f>
        <v>0.47024892462983114</v>
      </c>
      <c r="D38" s="36">
        <f>M113</f>
        <v>0.25436318902210431</v>
      </c>
      <c r="E38" s="36">
        <f>R113</f>
        <v>0.30309453666659714</v>
      </c>
      <c r="F38" s="36">
        <f>W113</f>
        <v>0.43709705833538903</v>
      </c>
      <c r="G38" s="36">
        <f>AB113</f>
        <v>0.57342990552005579</v>
      </c>
      <c r="H38" s="36">
        <f>AG113</f>
        <v>0.57584823067822621</v>
      </c>
      <c r="I38" s="36">
        <f>AL113</f>
        <v>0.51643384726768149</v>
      </c>
      <c r="J38" s="3"/>
      <c r="K38" s="3"/>
      <c r="L38" s="3"/>
      <c r="M38" s="3"/>
      <c r="N38" s="3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7" x14ac:dyDescent="0.3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7" x14ac:dyDescent="0.3">
      <c r="A40" s="2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7" x14ac:dyDescent="0.3">
      <c r="A41" s="2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7" x14ac:dyDescent="0.3">
      <c r="A42" s="2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7" x14ac:dyDescent="0.3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9"/>
      <c r="AU43" s="37"/>
    </row>
    <row r="44" spans="1:47" x14ac:dyDescent="0.3">
      <c r="A44" s="2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2"/>
      <c r="AK44" s="40"/>
      <c r="AL44" s="40"/>
      <c r="AM44" s="40"/>
      <c r="AN44" s="40"/>
      <c r="AO44" s="40"/>
      <c r="AP44" s="40"/>
      <c r="AQ44" s="40"/>
      <c r="AR44" s="40"/>
      <c r="AS44" s="40"/>
      <c r="AT44" s="2"/>
      <c r="AU44" s="2"/>
    </row>
    <row r="45" spans="1:47" x14ac:dyDescent="0.3">
      <c r="B45" s="41" t="s">
        <v>30</v>
      </c>
      <c r="C45" s="12">
        <v>2015</v>
      </c>
      <c r="D45" s="12">
        <v>2016</v>
      </c>
      <c r="E45" s="12">
        <v>2017</v>
      </c>
      <c r="F45" s="12">
        <v>2018</v>
      </c>
      <c r="G45" s="12">
        <v>2019</v>
      </c>
      <c r="H45" s="12">
        <v>2020</v>
      </c>
      <c r="I45" s="12">
        <v>2021</v>
      </c>
      <c r="J45" s="12">
        <v>2022</v>
      </c>
      <c r="K45" s="12">
        <v>2023</v>
      </c>
      <c r="L45" s="12">
        <v>2024</v>
      </c>
      <c r="M45" s="12">
        <v>2025</v>
      </c>
      <c r="N45" s="12">
        <v>2026</v>
      </c>
      <c r="O45" s="12">
        <v>2027</v>
      </c>
      <c r="P45" s="12">
        <v>2028</v>
      </c>
      <c r="Q45" s="12">
        <v>2029</v>
      </c>
      <c r="R45" s="12">
        <v>2030</v>
      </c>
      <c r="S45" s="12">
        <v>2031</v>
      </c>
      <c r="T45" s="12">
        <v>2032</v>
      </c>
      <c r="U45" s="12">
        <v>2033</v>
      </c>
      <c r="V45" s="12">
        <v>2034</v>
      </c>
      <c r="W45" s="12">
        <v>2035</v>
      </c>
      <c r="X45" s="12">
        <v>2036</v>
      </c>
      <c r="Y45" s="12">
        <v>2037</v>
      </c>
      <c r="Z45" s="12">
        <v>2038</v>
      </c>
      <c r="AA45" s="12">
        <v>2039</v>
      </c>
      <c r="AB45" s="12">
        <v>2040</v>
      </c>
      <c r="AC45" s="12">
        <v>2041</v>
      </c>
      <c r="AD45" s="12">
        <v>2042</v>
      </c>
      <c r="AE45" s="12">
        <v>2043</v>
      </c>
      <c r="AF45" s="12">
        <v>2044</v>
      </c>
      <c r="AG45" s="12">
        <v>2045</v>
      </c>
      <c r="AH45" s="12">
        <v>2046</v>
      </c>
      <c r="AI45" s="12">
        <v>2047</v>
      </c>
      <c r="AJ45" s="12">
        <v>2048</v>
      </c>
      <c r="AK45" s="198">
        <v>2049</v>
      </c>
      <c r="AL45" s="198">
        <v>2050</v>
      </c>
      <c r="AM45" s="198">
        <v>2051</v>
      </c>
      <c r="AN45" s="198">
        <v>2052</v>
      </c>
      <c r="AO45" s="198">
        <v>2053</v>
      </c>
      <c r="AP45" s="198">
        <v>2054</v>
      </c>
      <c r="AQ45" s="198">
        <v>2055</v>
      </c>
      <c r="AR45" s="198">
        <v>2056</v>
      </c>
      <c r="AS45" s="198">
        <v>2057</v>
      </c>
      <c r="AT45" s="198">
        <v>2058</v>
      </c>
      <c r="AU45" s="2"/>
    </row>
    <row r="46" spans="1:47" x14ac:dyDescent="0.3">
      <c r="B46" s="41"/>
      <c r="C46" s="42" t="s">
        <v>31</v>
      </c>
      <c r="D46" s="42" t="s">
        <v>32</v>
      </c>
      <c r="E46" s="42" t="s">
        <v>33</v>
      </c>
      <c r="F46" s="42" t="s">
        <v>34</v>
      </c>
      <c r="G46" s="42" t="s">
        <v>35</v>
      </c>
      <c r="H46" s="42" t="s">
        <v>36</v>
      </c>
      <c r="I46" s="42" t="s">
        <v>37</v>
      </c>
      <c r="J46" s="42" t="s">
        <v>38</v>
      </c>
      <c r="K46" s="42" t="s">
        <v>39</v>
      </c>
      <c r="L46" s="42" t="s">
        <v>40</v>
      </c>
      <c r="M46" s="42" t="s">
        <v>41</v>
      </c>
      <c r="N46" s="42" t="s">
        <v>42</v>
      </c>
      <c r="O46" s="42" t="s">
        <v>43</v>
      </c>
      <c r="P46" s="42" t="s">
        <v>44</v>
      </c>
      <c r="Q46" s="42" t="s">
        <v>45</v>
      </c>
      <c r="R46" s="42" t="s">
        <v>46</v>
      </c>
      <c r="S46" s="42" t="s">
        <v>47</v>
      </c>
      <c r="T46" s="42" t="s">
        <v>48</v>
      </c>
      <c r="U46" s="42" t="s">
        <v>49</v>
      </c>
      <c r="V46" s="42" t="s">
        <v>50</v>
      </c>
      <c r="W46" s="42" t="s">
        <v>51</v>
      </c>
      <c r="X46" s="42" t="s">
        <v>52</v>
      </c>
      <c r="Y46" s="42" t="s">
        <v>53</v>
      </c>
      <c r="Z46" s="42" t="s">
        <v>54</v>
      </c>
      <c r="AA46" s="42" t="s">
        <v>55</v>
      </c>
      <c r="AB46" s="42" t="s">
        <v>56</v>
      </c>
      <c r="AC46" s="42" t="s">
        <v>57</v>
      </c>
      <c r="AD46" s="42" t="s">
        <v>58</v>
      </c>
      <c r="AE46" s="42" t="s">
        <v>59</v>
      </c>
      <c r="AF46" s="42" t="s">
        <v>60</v>
      </c>
      <c r="AG46" s="42" t="s">
        <v>61</v>
      </c>
      <c r="AH46" s="42" t="s">
        <v>62</v>
      </c>
      <c r="AI46" s="42" t="s">
        <v>63</v>
      </c>
      <c r="AJ46" s="42" t="s">
        <v>64</v>
      </c>
      <c r="AK46" s="198" t="s">
        <v>65</v>
      </c>
      <c r="AL46" s="198" t="s">
        <v>66</v>
      </c>
      <c r="AM46" s="198" t="s">
        <v>67</v>
      </c>
      <c r="AN46" s="198" t="s">
        <v>68</v>
      </c>
      <c r="AO46" s="198" t="s">
        <v>69</v>
      </c>
      <c r="AP46" s="198" t="s">
        <v>70</v>
      </c>
      <c r="AQ46" s="198" t="s">
        <v>71</v>
      </c>
      <c r="AR46" s="198" t="s">
        <v>72</v>
      </c>
      <c r="AS46" s="198" t="s">
        <v>73</v>
      </c>
      <c r="AT46" s="198" t="s">
        <v>74</v>
      </c>
      <c r="AU46" s="2"/>
    </row>
    <row r="47" spans="1:47" x14ac:dyDescent="0.3">
      <c r="B47" s="41"/>
      <c r="C47" s="42">
        <v>0</v>
      </c>
      <c r="D47" s="42">
        <v>1</v>
      </c>
      <c r="E47" s="42">
        <v>2</v>
      </c>
      <c r="F47" s="42">
        <v>3</v>
      </c>
      <c r="G47" s="42">
        <v>4</v>
      </c>
      <c r="H47" s="42">
        <v>5</v>
      </c>
      <c r="I47" s="42">
        <v>6</v>
      </c>
      <c r="J47" s="42">
        <v>7</v>
      </c>
      <c r="K47" s="42">
        <v>8</v>
      </c>
      <c r="L47" s="42">
        <v>9</v>
      </c>
      <c r="M47" s="42">
        <v>10</v>
      </c>
      <c r="N47" s="42">
        <v>11</v>
      </c>
      <c r="O47" s="42">
        <v>12</v>
      </c>
      <c r="P47" s="42">
        <v>13</v>
      </c>
      <c r="Q47" s="42">
        <v>14</v>
      </c>
      <c r="R47" s="42">
        <v>15</v>
      </c>
      <c r="S47" s="42">
        <v>16</v>
      </c>
      <c r="T47" s="42">
        <v>17</v>
      </c>
      <c r="U47" s="42">
        <v>18</v>
      </c>
      <c r="V47" s="42">
        <v>19</v>
      </c>
      <c r="W47" s="42">
        <v>20</v>
      </c>
      <c r="X47" s="42">
        <v>21</v>
      </c>
      <c r="Y47" s="42">
        <v>22</v>
      </c>
      <c r="Z47" s="42">
        <v>23</v>
      </c>
      <c r="AA47" s="42">
        <v>24</v>
      </c>
      <c r="AB47" s="42">
        <v>25</v>
      </c>
      <c r="AC47" s="42">
        <v>26</v>
      </c>
      <c r="AD47" s="42">
        <v>27</v>
      </c>
      <c r="AE47" s="42">
        <v>28</v>
      </c>
      <c r="AF47" s="42">
        <v>29</v>
      </c>
      <c r="AG47" s="42">
        <v>30</v>
      </c>
      <c r="AH47" s="42">
        <v>31</v>
      </c>
      <c r="AI47" s="42">
        <v>32</v>
      </c>
      <c r="AJ47" s="42">
        <v>33</v>
      </c>
      <c r="AK47" s="198">
        <v>34</v>
      </c>
      <c r="AL47" s="198">
        <v>35</v>
      </c>
      <c r="AM47" s="198">
        <v>36</v>
      </c>
      <c r="AN47" s="198">
        <v>37</v>
      </c>
      <c r="AO47" s="198">
        <v>38</v>
      </c>
      <c r="AP47" s="198">
        <v>39</v>
      </c>
      <c r="AQ47" s="198">
        <v>40</v>
      </c>
      <c r="AR47" s="198">
        <v>41</v>
      </c>
      <c r="AS47" s="198">
        <v>42</v>
      </c>
      <c r="AT47" s="198">
        <v>43</v>
      </c>
      <c r="AU47" s="2"/>
    </row>
    <row r="48" spans="1:47" x14ac:dyDescent="0.3">
      <c r="B48" s="41"/>
      <c r="C48" s="42">
        <v>0</v>
      </c>
      <c r="D48" s="42">
        <v>0</v>
      </c>
      <c r="E48" s="42">
        <v>0</v>
      </c>
      <c r="F48" s="42">
        <v>0</v>
      </c>
      <c r="G48" s="42">
        <v>1</v>
      </c>
      <c r="H48" s="42">
        <v>2</v>
      </c>
      <c r="I48" s="42">
        <v>3</v>
      </c>
      <c r="J48" s="42">
        <v>4</v>
      </c>
      <c r="K48" s="42">
        <v>5</v>
      </c>
      <c r="L48" s="42">
        <v>6</v>
      </c>
      <c r="M48" s="42">
        <v>7</v>
      </c>
      <c r="N48" s="42">
        <v>8</v>
      </c>
      <c r="O48" s="42">
        <v>9</v>
      </c>
      <c r="P48" s="42">
        <v>10</v>
      </c>
      <c r="Q48" s="42">
        <v>11</v>
      </c>
      <c r="R48" s="42">
        <v>12</v>
      </c>
      <c r="S48" s="42">
        <v>13</v>
      </c>
      <c r="T48" s="42">
        <v>14</v>
      </c>
      <c r="U48" s="42">
        <v>15</v>
      </c>
      <c r="V48" s="42">
        <v>16</v>
      </c>
      <c r="W48" s="42">
        <v>17</v>
      </c>
      <c r="X48" s="42">
        <v>18</v>
      </c>
      <c r="Y48" s="42">
        <v>19</v>
      </c>
      <c r="Z48" s="42">
        <v>20</v>
      </c>
      <c r="AA48" s="42">
        <v>21</v>
      </c>
      <c r="AB48" s="42">
        <v>22</v>
      </c>
      <c r="AC48" s="42">
        <v>23</v>
      </c>
      <c r="AD48" s="42">
        <v>24</v>
      </c>
      <c r="AE48" s="42">
        <v>25</v>
      </c>
      <c r="AF48" s="42">
        <v>26</v>
      </c>
      <c r="AG48" s="42">
        <v>27</v>
      </c>
      <c r="AH48" s="42">
        <v>28</v>
      </c>
      <c r="AI48" s="42">
        <v>29</v>
      </c>
      <c r="AJ48" s="42">
        <v>30</v>
      </c>
      <c r="AK48" s="198">
        <v>31</v>
      </c>
      <c r="AL48" s="198">
        <v>32</v>
      </c>
      <c r="AM48" s="198">
        <v>33</v>
      </c>
      <c r="AN48" s="198">
        <v>34</v>
      </c>
      <c r="AO48" s="198">
        <v>35</v>
      </c>
      <c r="AP48" s="198">
        <v>36</v>
      </c>
      <c r="AQ48" s="198">
        <v>37</v>
      </c>
      <c r="AR48" s="198">
        <v>38</v>
      </c>
      <c r="AS48" s="198">
        <v>39</v>
      </c>
      <c r="AT48" s="198">
        <v>40</v>
      </c>
      <c r="AU48" s="2"/>
    </row>
    <row r="49" spans="1:47" x14ac:dyDescent="0.3">
      <c r="B49" s="41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198"/>
      <c r="AL49" s="198"/>
      <c r="AM49" s="198"/>
      <c r="AN49" s="198"/>
      <c r="AO49" s="198"/>
      <c r="AP49" s="198"/>
      <c r="AQ49" s="198"/>
      <c r="AR49" s="198"/>
      <c r="AS49" s="198"/>
      <c r="AT49" s="198"/>
      <c r="AU49" s="2"/>
    </row>
    <row r="50" spans="1:47" x14ac:dyDescent="0.3">
      <c r="A50" s="44"/>
      <c r="B50" s="45" t="s">
        <v>75</v>
      </c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  <c r="AK50" s="199"/>
      <c r="AL50" s="199"/>
      <c r="AM50" s="199"/>
      <c r="AN50" s="199"/>
      <c r="AO50" s="199"/>
      <c r="AP50" s="199"/>
      <c r="AQ50" s="199"/>
      <c r="AR50" s="199"/>
      <c r="AS50" s="199"/>
      <c r="AT50" s="199"/>
      <c r="AU50" s="47"/>
    </row>
    <row r="51" spans="1:47" x14ac:dyDescent="0.3">
      <c r="B51" s="48" t="s">
        <v>76</v>
      </c>
      <c r="C51" s="15">
        <v>0</v>
      </c>
      <c r="D51" s="15">
        <v>0</v>
      </c>
      <c r="E51" s="15">
        <v>0</v>
      </c>
      <c r="F51" s="15">
        <v>0</v>
      </c>
      <c r="G51" s="462">
        <v>4579224.8709058398</v>
      </c>
      <c r="H51" s="462">
        <v>3665024.2527951486</v>
      </c>
      <c r="I51" s="462">
        <v>4810074.6808413127</v>
      </c>
      <c r="J51" s="462">
        <v>4922752.6637038086</v>
      </c>
      <c r="K51" s="462">
        <v>12870721.787841758</v>
      </c>
      <c r="L51" s="462">
        <v>5156308.0742966067</v>
      </c>
      <c r="M51" s="462">
        <v>5277321.0760550471</v>
      </c>
      <c r="N51" s="462">
        <v>5401250.8591650324</v>
      </c>
      <c r="O51" s="462">
        <v>5528169.5791431032</v>
      </c>
      <c r="P51" s="462">
        <v>14264196.486164518</v>
      </c>
      <c r="Q51" s="462">
        <v>5791271.6462824829</v>
      </c>
      <c r="R51" s="462">
        <v>5927608.6425757455</v>
      </c>
      <c r="S51" s="462">
        <v>6067241.9726887867</v>
      </c>
      <c r="T51" s="462">
        <v>6210253.4263689686</v>
      </c>
      <c r="U51" s="462">
        <v>15812619.472109525</v>
      </c>
      <c r="V51" s="462">
        <v>6506748.3151444681</v>
      </c>
      <c r="W51" s="462">
        <v>6660405.945101901</v>
      </c>
      <c r="X51" s="462">
        <v>6817790.2008317355</v>
      </c>
      <c r="Y51" s="462">
        <v>6978993.824970345</v>
      </c>
      <c r="Z51" s="462">
        <v>17533777.566125192</v>
      </c>
      <c r="AA51" s="462">
        <v>7313242.0337353684</v>
      </c>
      <c r="AB51" s="462">
        <v>7486484.1749081584</v>
      </c>
      <c r="AC51" s="462">
        <v>7663940.9258228224</v>
      </c>
      <c r="AD51" s="462">
        <v>7845717.4852003111</v>
      </c>
      <c r="AE51" s="462">
        <v>19447574.458876446</v>
      </c>
      <c r="AF51" s="462">
        <v>8222664.3427790459</v>
      </c>
      <c r="AG51" s="462">
        <v>8418058.7697174083</v>
      </c>
      <c r="AH51" s="462">
        <v>8618221.4088436104</v>
      </c>
      <c r="AI51" s="462">
        <v>8823271.6290291194</v>
      </c>
      <c r="AJ51" s="462">
        <v>21576292.585520405</v>
      </c>
      <c r="AK51" s="463">
        <v>9248527.6699931324</v>
      </c>
      <c r="AL51" s="463">
        <v>9468987.8531201519</v>
      </c>
      <c r="AM51" s="463">
        <v>9694844.5088428352</v>
      </c>
      <c r="AN51" s="463">
        <v>9926233.1312741525</v>
      </c>
      <c r="AO51" s="463">
        <v>23944888.683635011</v>
      </c>
      <c r="AP51" s="463">
        <v>10406165.7604318</v>
      </c>
      <c r="AQ51" s="463">
        <v>10654998.540001947</v>
      </c>
      <c r="AR51" s="463">
        <v>10909941.022349512</v>
      </c>
      <c r="AS51" s="463">
        <v>11171147.057483964</v>
      </c>
      <c r="AT51" s="463">
        <v>26581327.530426417</v>
      </c>
      <c r="AU51" s="2"/>
    </row>
    <row r="52" spans="1:47" x14ac:dyDescent="0.3">
      <c r="B52" s="50" t="s">
        <v>77</v>
      </c>
      <c r="C52" s="15">
        <v>0</v>
      </c>
      <c r="D52" s="15">
        <v>0</v>
      </c>
      <c r="E52" s="15">
        <v>0</v>
      </c>
      <c r="F52" s="15">
        <v>0</v>
      </c>
      <c r="G52" s="462">
        <v>6619776.37151636</v>
      </c>
      <c r="H52" s="462">
        <v>8826368.4953551479</v>
      </c>
      <c r="I52" s="462">
        <v>8977363.5649362821</v>
      </c>
      <c r="J52" s="462">
        <v>9128358.6345174182</v>
      </c>
      <c r="K52" s="462">
        <v>9279353.7040985543</v>
      </c>
      <c r="L52" s="462">
        <v>9430348.7736796904</v>
      </c>
      <c r="M52" s="462">
        <v>9581343.8432608303</v>
      </c>
      <c r="N52" s="462">
        <v>9730808.9083007313</v>
      </c>
      <c r="O52" s="462">
        <v>9880273.9733406343</v>
      </c>
      <c r="P52" s="462">
        <v>10029739.038380537</v>
      </c>
      <c r="Q52" s="462">
        <v>10179204.10342044</v>
      </c>
      <c r="R52" s="462">
        <v>10328669.168460339</v>
      </c>
      <c r="S52" s="462">
        <v>10535962.812453004</v>
      </c>
      <c r="T52" s="462">
        <v>10743256.45644567</v>
      </c>
      <c r="U52" s="462">
        <v>10950550.100438334</v>
      </c>
      <c r="V52" s="462">
        <v>11157843.744430998</v>
      </c>
      <c r="W52" s="462">
        <v>11365137.388423664</v>
      </c>
      <c r="X52" s="462">
        <v>11676407.424581464</v>
      </c>
      <c r="Y52" s="462">
        <v>11987677.460739264</v>
      </c>
      <c r="Z52" s="462">
        <v>12298947.496897068</v>
      </c>
      <c r="AA52" s="462">
        <v>12610217.533054868</v>
      </c>
      <c r="AB52" s="462">
        <v>12921487.56921267</v>
      </c>
      <c r="AC52" s="462">
        <v>12921487.56921267</v>
      </c>
      <c r="AD52" s="462">
        <v>12921487.56921267</v>
      </c>
      <c r="AE52" s="462">
        <v>12921487.56921267</v>
      </c>
      <c r="AF52" s="462">
        <v>12921487.56921267</v>
      </c>
      <c r="AG52" s="462">
        <v>12921487.56921267</v>
      </c>
      <c r="AH52" s="462">
        <v>12921487.56921267</v>
      </c>
      <c r="AI52" s="462">
        <v>12921487.56921267</v>
      </c>
      <c r="AJ52" s="462">
        <v>12921487.56921267</v>
      </c>
      <c r="AK52" s="463">
        <v>12921487.56921267</v>
      </c>
      <c r="AL52" s="463">
        <v>12921487.56921267</v>
      </c>
      <c r="AM52" s="463">
        <v>12921487.56921267</v>
      </c>
      <c r="AN52" s="463">
        <v>12921487.56921267</v>
      </c>
      <c r="AO52" s="463">
        <v>12921487.56921267</v>
      </c>
      <c r="AP52" s="463">
        <v>12921487.56921267</v>
      </c>
      <c r="AQ52" s="463">
        <v>12921487.56921267</v>
      </c>
      <c r="AR52" s="463">
        <v>12921487.56921267</v>
      </c>
      <c r="AS52" s="463">
        <v>12921487.56921267</v>
      </c>
      <c r="AT52" s="463">
        <v>12921487.56921267</v>
      </c>
      <c r="AU52" s="2"/>
    </row>
    <row r="53" spans="1:47" x14ac:dyDescent="0.3">
      <c r="B53" s="50" t="s">
        <v>78</v>
      </c>
      <c r="C53" s="15">
        <v>0</v>
      </c>
      <c r="D53" s="15">
        <v>0</v>
      </c>
      <c r="E53" s="15">
        <v>0</v>
      </c>
      <c r="F53" s="15">
        <v>0</v>
      </c>
      <c r="G53" s="462">
        <v>4041373.4748107381</v>
      </c>
      <c r="H53" s="462">
        <v>5388497.9664143175</v>
      </c>
      <c r="I53" s="462">
        <v>5730051.417159508</v>
      </c>
      <c r="J53" s="462">
        <v>5826428.2104328489</v>
      </c>
      <c r="K53" s="462">
        <v>6162086.325855921</v>
      </c>
      <c r="L53" s="462">
        <v>6262356.7415775042</v>
      </c>
      <c r="M53" s="462">
        <v>6619677.294453972</v>
      </c>
      <c r="N53" s="462">
        <v>6722941.5665168799</v>
      </c>
      <c r="O53" s="462">
        <v>7101984.5544584068</v>
      </c>
      <c r="P53" s="462">
        <v>7209420.7031126535</v>
      </c>
      <c r="Q53" s="462">
        <v>7612457.8685782831</v>
      </c>
      <c r="R53" s="462">
        <v>7724234.437638158</v>
      </c>
      <c r="S53" s="462">
        <v>8197579.7829282973</v>
      </c>
      <c r="T53" s="462">
        <v>8358866.0569378566</v>
      </c>
      <c r="U53" s="462">
        <v>8864366.4851176888</v>
      </c>
      <c r="V53" s="462">
        <v>9032168.7245972324</v>
      </c>
      <c r="W53" s="462">
        <v>9571649.7910254784</v>
      </c>
      <c r="X53" s="462">
        <v>9833799.5279549267</v>
      </c>
      <c r="Y53" s="462">
        <v>10503825.615185706</v>
      </c>
      <c r="Z53" s="462">
        <v>10776566.201487105</v>
      </c>
      <c r="AA53" s="462">
        <v>11495698.782015158</v>
      </c>
      <c r="AB53" s="462">
        <v>11779458.088003136</v>
      </c>
      <c r="AC53" s="462">
        <v>12255348.194758466</v>
      </c>
      <c r="AD53" s="462">
        <v>12255348.194758466</v>
      </c>
      <c r="AE53" s="462">
        <v>12750464.261826705</v>
      </c>
      <c r="AF53" s="462">
        <v>12750464.261826705</v>
      </c>
      <c r="AG53" s="462">
        <v>13265583.018004503</v>
      </c>
      <c r="AH53" s="462">
        <v>13265583.018004503</v>
      </c>
      <c r="AI53" s="462">
        <v>13801512.571931884</v>
      </c>
      <c r="AJ53" s="462">
        <v>13801512.571931884</v>
      </c>
      <c r="AK53" s="463">
        <v>14359093.679837935</v>
      </c>
      <c r="AL53" s="463">
        <v>14359093.679837935</v>
      </c>
      <c r="AM53" s="463">
        <v>14939201.064503383</v>
      </c>
      <c r="AN53" s="463">
        <v>14939201.064503383</v>
      </c>
      <c r="AO53" s="463">
        <v>15542744.787509324</v>
      </c>
      <c r="AP53" s="463">
        <v>15542744.787509324</v>
      </c>
      <c r="AQ53" s="463">
        <v>16170671.676924698</v>
      </c>
      <c r="AR53" s="463">
        <v>16170671.676924698</v>
      </c>
      <c r="AS53" s="463">
        <v>16823966.812672459</v>
      </c>
      <c r="AT53" s="463">
        <v>16823966.812672459</v>
      </c>
      <c r="AU53" s="2"/>
    </row>
    <row r="54" spans="1:47" x14ac:dyDescent="0.3">
      <c r="B54" s="50" t="s">
        <v>79</v>
      </c>
      <c r="C54" s="15">
        <v>0</v>
      </c>
      <c r="D54" s="15">
        <v>0</v>
      </c>
      <c r="E54" s="15">
        <v>0</v>
      </c>
      <c r="F54" s="15">
        <v>0</v>
      </c>
      <c r="G54" s="15">
        <f>$C$14*$C$15*12</f>
        <v>0</v>
      </c>
      <c r="H54" s="15">
        <f t="shared" ref="H54:AT54" si="0">$G$54*((1+$C$25)^G48)</f>
        <v>0</v>
      </c>
      <c r="I54" s="15">
        <f t="shared" si="0"/>
        <v>0</v>
      </c>
      <c r="J54" s="15">
        <f t="shared" si="0"/>
        <v>0</v>
      </c>
      <c r="K54" s="15">
        <f t="shared" si="0"/>
        <v>0</v>
      </c>
      <c r="L54" s="15">
        <f t="shared" si="0"/>
        <v>0</v>
      </c>
      <c r="M54" s="15">
        <f t="shared" si="0"/>
        <v>0</v>
      </c>
      <c r="N54" s="15">
        <f t="shared" si="0"/>
        <v>0</v>
      </c>
      <c r="O54" s="15">
        <f t="shared" si="0"/>
        <v>0</v>
      </c>
      <c r="P54" s="15">
        <f t="shared" si="0"/>
        <v>0</v>
      </c>
      <c r="Q54" s="15">
        <f t="shared" si="0"/>
        <v>0</v>
      </c>
      <c r="R54" s="15">
        <f t="shared" si="0"/>
        <v>0</v>
      </c>
      <c r="S54" s="15">
        <f t="shared" si="0"/>
        <v>0</v>
      </c>
      <c r="T54" s="15">
        <f t="shared" si="0"/>
        <v>0</v>
      </c>
      <c r="U54" s="15">
        <f t="shared" si="0"/>
        <v>0</v>
      </c>
      <c r="V54" s="15">
        <f t="shared" si="0"/>
        <v>0</v>
      </c>
      <c r="W54" s="15">
        <f t="shared" si="0"/>
        <v>0</v>
      </c>
      <c r="X54" s="15">
        <f t="shared" si="0"/>
        <v>0</v>
      </c>
      <c r="Y54" s="15">
        <f t="shared" si="0"/>
        <v>0</v>
      </c>
      <c r="Z54" s="15">
        <f t="shared" si="0"/>
        <v>0</v>
      </c>
      <c r="AA54" s="15">
        <f t="shared" si="0"/>
        <v>0</v>
      </c>
      <c r="AB54" s="15">
        <f t="shared" si="0"/>
        <v>0</v>
      </c>
      <c r="AC54" s="15">
        <f t="shared" si="0"/>
        <v>0</v>
      </c>
      <c r="AD54" s="15">
        <f t="shared" si="0"/>
        <v>0</v>
      </c>
      <c r="AE54" s="15">
        <f t="shared" si="0"/>
        <v>0</v>
      </c>
      <c r="AF54" s="15">
        <f t="shared" si="0"/>
        <v>0</v>
      </c>
      <c r="AG54" s="15">
        <f t="shared" si="0"/>
        <v>0</v>
      </c>
      <c r="AH54" s="15">
        <f t="shared" si="0"/>
        <v>0</v>
      </c>
      <c r="AI54" s="15">
        <f t="shared" si="0"/>
        <v>0</v>
      </c>
      <c r="AJ54" s="15">
        <f t="shared" si="0"/>
        <v>0</v>
      </c>
      <c r="AK54" s="200">
        <f t="shared" si="0"/>
        <v>0</v>
      </c>
      <c r="AL54" s="200">
        <f t="shared" si="0"/>
        <v>0</v>
      </c>
      <c r="AM54" s="200">
        <f t="shared" si="0"/>
        <v>0</v>
      </c>
      <c r="AN54" s="200">
        <f t="shared" si="0"/>
        <v>0</v>
      </c>
      <c r="AO54" s="200">
        <f t="shared" si="0"/>
        <v>0</v>
      </c>
      <c r="AP54" s="200">
        <f t="shared" si="0"/>
        <v>0</v>
      </c>
      <c r="AQ54" s="200">
        <f t="shared" si="0"/>
        <v>0</v>
      </c>
      <c r="AR54" s="200">
        <f t="shared" si="0"/>
        <v>0</v>
      </c>
      <c r="AS54" s="200">
        <f t="shared" si="0"/>
        <v>0</v>
      </c>
      <c r="AT54" s="200">
        <f t="shared" si="0"/>
        <v>0</v>
      </c>
      <c r="AU54" s="2"/>
    </row>
    <row r="55" spans="1:47" x14ac:dyDescent="0.3">
      <c r="B55" s="50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"/>
    </row>
    <row r="56" spans="1:47" x14ac:dyDescent="0.3">
      <c r="B56" s="48" t="s">
        <v>80</v>
      </c>
      <c r="C56" s="20">
        <v>0</v>
      </c>
      <c r="D56" s="20">
        <v>0</v>
      </c>
      <c r="E56" s="20">
        <v>0</v>
      </c>
      <c r="F56" s="20">
        <v>0</v>
      </c>
      <c r="G56" s="20">
        <f t="shared" ref="G56:AT56" si="1">SUM($C$96:$F$96)*$C$18/50</f>
        <v>-911866.2716906718</v>
      </c>
      <c r="H56" s="20">
        <f t="shared" si="1"/>
        <v>-911866.2716906718</v>
      </c>
      <c r="I56" s="20">
        <f t="shared" si="1"/>
        <v>-911866.2716906718</v>
      </c>
      <c r="J56" s="20">
        <f t="shared" si="1"/>
        <v>-911866.2716906718</v>
      </c>
      <c r="K56" s="20">
        <f t="shared" si="1"/>
        <v>-911866.2716906718</v>
      </c>
      <c r="L56" s="20">
        <f t="shared" si="1"/>
        <v>-911866.2716906718</v>
      </c>
      <c r="M56" s="20">
        <f t="shared" si="1"/>
        <v>-911866.2716906718</v>
      </c>
      <c r="N56" s="20">
        <f t="shared" si="1"/>
        <v>-911866.2716906718</v>
      </c>
      <c r="O56" s="20">
        <f t="shared" si="1"/>
        <v>-911866.2716906718</v>
      </c>
      <c r="P56" s="20">
        <f t="shared" si="1"/>
        <v>-911866.2716906718</v>
      </c>
      <c r="Q56" s="20">
        <f t="shared" si="1"/>
        <v>-911866.2716906718</v>
      </c>
      <c r="R56" s="20">
        <f t="shared" si="1"/>
        <v>-911866.2716906718</v>
      </c>
      <c r="S56" s="20">
        <f t="shared" si="1"/>
        <v>-911866.2716906718</v>
      </c>
      <c r="T56" s="20">
        <f t="shared" si="1"/>
        <v>-911866.2716906718</v>
      </c>
      <c r="U56" s="20">
        <f t="shared" si="1"/>
        <v>-911866.2716906718</v>
      </c>
      <c r="V56" s="20">
        <f t="shared" si="1"/>
        <v>-911866.2716906718</v>
      </c>
      <c r="W56" s="20">
        <f t="shared" si="1"/>
        <v>-911866.2716906718</v>
      </c>
      <c r="X56" s="20">
        <f t="shared" si="1"/>
        <v>-911866.2716906718</v>
      </c>
      <c r="Y56" s="20">
        <f t="shared" si="1"/>
        <v>-911866.2716906718</v>
      </c>
      <c r="Z56" s="20">
        <f t="shared" si="1"/>
        <v>-911866.2716906718</v>
      </c>
      <c r="AA56" s="20">
        <f t="shared" si="1"/>
        <v>-911866.2716906718</v>
      </c>
      <c r="AB56" s="20">
        <f t="shared" si="1"/>
        <v>-911866.2716906718</v>
      </c>
      <c r="AC56" s="20">
        <f t="shared" si="1"/>
        <v>-911866.2716906718</v>
      </c>
      <c r="AD56" s="20">
        <f t="shared" si="1"/>
        <v>-911866.2716906718</v>
      </c>
      <c r="AE56" s="20">
        <f t="shared" si="1"/>
        <v>-911866.2716906718</v>
      </c>
      <c r="AF56" s="20">
        <f t="shared" si="1"/>
        <v>-911866.2716906718</v>
      </c>
      <c r="AG56" s="20">
        <f t="shared" si="1"/>
        <v>-911866.2716906718</v>
      </c>
      <c r="AH56" s="20">
        <f t="shared" si="1"/>
        <v>-911866.2716906718</v>
      </c>
      <c r="AI56" s="20">
        <f t="shared" si="1"/>
        <v>-911866.2716906718</v>
      </c>
      <c r="AJ56" s="20">
        <f t="shared" si="1"/>
        <v>-911866.2716906718</v>
      </c>
      <c r="AK56" s="201">
        <f t="shared" si="1"/>
        <v>-911866.2716906718</v>
      </c>
      <c r="AL56" s="201">
        <f t="shared" si="1"/>
        <v>-911866.2716906718</v>
      </c>
      <c r="AM56" s="201">
        <f t="shared" si="1"/>
        <v>-911866.2716906718</v>
      </c>
      <c r="AN56" s="201">
        <f t="shared" si="1"/>
        <v>-911866.2716906718</v>
      </c>
      <c r="AO56" s="201">
        <f t="shared" si="1"/>
        <v>-911866.2716906718</v>
      </c>
      <c r="AP56" s="201">
        <f t="shared" si="1"/>
        <v>-911866.2716906718</v>
      </c>
      <c r="AQ56" s="201">
        <f t="shared" si="1"/>
        <v>-911866.2716906718</v>
      </c>
      <c r="AR56" s="201">
        <f t="shared" si="1"/>
        <v>-911866.2716906718</v>
      </c>
      <c r="AS56" s="201">
        <f t="shared" si="1"/>
        <v>-911866.2716906718</v>
      </c>
      <c r="AT56" s="201">
        <f t="shared" si="1"/>
        <v>-911866.2716906718</v>
      </c>
      <c r="AU56" s="2"/>
    </row>
    <row r="57" spans="1:47" x14ac:dyDescent="0.3">
      <c r="B57" s="48" t="s">
        <v>81</v>
      </c>
      <c r="C57" s="20">
        <v>0</v>
      </c>
      <c r="D57" s="20">
        <v>0</v>
      </c>
      <c r="E57" s="20">
        <v>0</v>
      </c>
      <c r="F57" s="20">
        <v>0</v>
      </c>
      <c r="G57" s="20">
        <f t="shared" ref="G57:AT57" si="2">SUM($C$96:$F$96)*$C$19/40</f>
        <v>-1996378.1071320064</v>
      </c>
      <c r="H57" s="20">
        <f t="shared" si="2"/>
        <v>-1996378.1071320064</v>
      </c>
      <c r="I57" s="20">
        <f t="shared" si="2"/>
        <v>-1996378.1071320064</v>
      </c>
      <c r="J57" s="20">
        <f t="shared" si="2"/>
        <v>-1996378.1071320064</v>
      </c>
      <c r="K57" s="20">
        <f t="shared" si="2"/>
        <v>-1996378.1071320064</v>
      </c>
      <c r="L57" s="20">
        <f t="shared" si="2"/>
        <v>-1996378.1071320064</v>
      </c>
      <c r="M57" s="20">
        <f t="shared" si="2"/>
        <v>-1996378.1071320064</v>
      </c>
      <c r="N57" s="20">
        <f t="shared" si="2"/>
        <v>-1996378.1071320064</v>
      </c>
      <c r="O57" s="20">
        <f t="shared" si="2"/>
        <v>-1996378.1071320064</v>
      </c>
      <c r="P57" s="20">
        <f t="shared" si="2"/>
        <v>-1996378.1071320064</v>
      </c>
      <c r="Q57" s="20">
        <f t="shared" si="2"/>
        <v>-1996378.1071320064</v>
      </c>
      <c r="R57" s="20">
        <f t="shared" si="2"/>
        <v>-1996378.1071320064</v>
      </c>
      <c r="S57" s="20">
        <f t="shared" si="2"/>
        <v>-1996378.1071320064</v>
      </c>
      <c r="T57" s="20">
        <f t="shared" si="2"/>
        <v>-1996378.1071320064</v>
      </c>
      <c r="U57" s="20">
        <f t="shared" si="2"/>
        <v>-1996378.1071320064</v>
      </c>
      <c r="V57" s="20">
        <f t="shared" si="2"/>
        <v>-1996378.1071320064</v>
      </c>
      <c r="W57" s="20">
        <f t="shared" si="2"/>
        <v>-1996378.1071320064</v>
      </c>
      <c r="X57" s="20">
        <f t="shared" si="2"/>
        <v>-1996378.1071320064</v>
      </c>
      <c r="Y57" s="20">
        <f t="shared" si="2"/>
        <v>-1996378.1071320064</v>
      </c>
      <c r="Z57" s="20">
        <f t="shared" si="2"/>
        <v>-1996378.1071320064</v>
      </c>
      <c r="AA57" s="20">
        <f t="shared" si="2"/>
        <v>-1996378.1071320064</v>
      </c>
      <c r="AB57" s="20">
        <f t="shared" si="2"/>
        <v>-1996378.1071320064</v>
      </c>
      <c r="AC57" s="20">
        <f t="shared" si="2"/>
        <v>-1996378.1071320064</v>
      </c>
      <c r="AD57" s="20">
        <f t="shared" si="2"/>
        <v>-1996378.1071320064</v>
      </c>
      <c r="AE57" s="20">
        <f t="shared" si="2"/>
        <v>-1996378.1071320064</v>
      </c>
      <c r="AF57" s="20">
        <f t="shared" si="2"/>
        <v>-1996378.1071320064</v>
      </c>
      <c r="AG57" s="20">
        <f t="shared" si="2"/>
        <v>-1996378.1071320064</v>
      </c>
      <c r="AH57" s="20">
        <f t="shared" si="2"/>
        <v>-1996378.1071320064</v>
      </c>
      <c r="AI57" s="20">
        <f t="shared" si="2"/>
        <v>-1996378.1071320064</v>
      </c>
      <c r="AJ57" s="20">
        <f t="shared" si="2"/>
        <v>-1996378.1071320064</v>
      </c>
      <c r="AK57" s="201">
        <f t="shared" si="2"/>
        <v>-1996378.1071320064</v>
      </c>
      <c r="AL57" s="201">
        <f t="shared" si="2"/>
        <v>-1996378.1071320064</v>
      </c>
      <c r="AM57" s="201">
        <f t="shared" si="2"/>
        <v>-1996378.1071320064</v>
      </c>
      <c r="AN57" s="201">
        <f t="shared" si="2"/>
        <v>-1996378.1071320064</v>
      </c>
      <c r="AO57" s="201">
        <f t="shared" si="2"/>
        <v>-1996378.1071320064</v>
      </c>
      <c r="AP57" s="201">
        <f t="shared" si="2"/>
        <v>-1996378.1071320064</v>
      </c>
      <c r="AQ57" s="201">
        <f t="shared" si="2"/>
        <v>-1996378.1071320064</v>
      </c>
      <c r="AR57" s="201">
        <f t="shared" si="2"/>
        <v>-1996378.1071320064</v>
      </c>
      <c r="AS57" s="201">
        <f t="shared" si="2"/>
        <v>-1996378.1071320064</v>
      </c>
      <c r="AT57" s="201">
        <f t="shared" si="2"/>
        <v>-1996378.1071320064</v>
      </c>
      <c r="AU57" s="2"/>
    </row>
    <row r="58" spans="1:47" x14ac:dyDescent="0.3">
      <c r="B58" s="48" t="s">
        <v>82</v>
      </c>
      <c r="C58" s="20">
        <v>0</v>
      </c>
      <c r="D58" s="20">
        <v>0</v>
      </c>
      <c r="E58" s="20">
        <v>0</v>
      </c>
      <c r="F58" s="20">
        <v>0</v>
      </c>
      <c r="G58" s="20">
        <f t="shared" ref="G58:U58" si="3">SUM($C$96:$F$96)*$C$20/15</f>
        <v>-1043556.8008431259</v>
      </c>
      <c r="H58" s="20">
        <f t="shared" si="3"/>
        <v>-1043556.8008431259</v>
      </c>
      <c r="I58" s="20">
        <f t="shared" si="3"/>
        <v>-1043556.8008431259</v>
      </c>
      <c r="J58" s="20">
        <f t="shared" si="3"/>
        <v>-1043556.8008431259</v>
      </c>
      <c r="K58" s="20">
        <f t="shared" si="3"/>
        <v>-1043556.8008431259</v>
      </c>
      <c r="L58" s="20">
        <f t="shared" si="3"/>
        <v>-1043556.8008431259</v>
      </c>
      <c r="M58" s="20">
        <f t="shared" si="3"/>
        <v>-1043556.8008431259</v>
      </c>
      <c r="N58" s="20">
        <f t="shared" si="3"/>
        <v>-1043556.8008431259</v>
      </c>
      <c r="O58" s="20">
        <f t="shared" si="3"/>
        <v>-1043556.8008431259</v>
      </c>
      <c r="P58" s="20">
        <f t="shared" si="3"/>
        <v>-1043556.8008431259</v>
      </c>
      <c r="Q58" s="20">
        <f t="shared" si="3"/>
        <v>-1043556.8008431259</v>
      </c>
      <c r="R58" s="20">
        <f t="shared" si="3"/>
        <v>-1043556.8008431259</v>
      </c>
      <c r="S58" s="20">
        <f t="shared" si="3"/>
        <v>-1043556.8008431259</v>
      </c>
      <c r="T58" s="20">
        <f t="shared" si="3"/>
        <v>-1043556.8008431259</v>
      </c>
      <c r="U58" s="20">
        <f t="shared" si="3"/>
        <v>-1043556.8008431259</v>
      </c>
      <c r="V58" s="20">
        <v>0</v>
      </c>
      <c r="W58" s="20">
        <v>0</v>
      </c>
      <c r="X58" s="20">
        <v>0</v>
      </c>
      <c r="Y58" s="20">
        <v>0</v>
      </c>
      <c r="Z58" s="20">
        <v>0</v>
      </c>
      <c r="AA58" s="20">
        <v>0</v>
      </c>
      <c r="AB58" s="20">
        <v>0</v>
      </c>
      <c r="AC58" s="20">
        <v>0</v>
      </c>
      <c r="AD58" s="20">
        <v>0</v>
      </c>
      <c r="AE58" s="20">
        <v>0</v>
      </c>
      <c r="AF58" s="20">
        <v>0</v>
      </c>
      <c r="AG58" s="20">
        <v>0</v>
      </c>
      <c r="AH58" s="20">
        <v>0</v>
      </c>
      <c r="AI58" s="20">
        <v>0</v>
      </c>
      <c r="AJ58" s="20">
        <v>0</v>
      </c>
      <c r="AK58" s="201">
        <v>0</v>
      </c>
      <c r="AL58" s="201">
        <v>0</v>
      </c>
      <c r="AM58" s="201">
        <v>0</v>
      </c>
      <c r="AN58" s="201">
        <v>0</v>
      </c>
      <c r="AO58" s="201">
        <v>0</v>
      </c>
      <c r="AP58" s="201">
        <v>0</v>
      </c>
      <c r="AQ58" s="201">
        <v>0</v>
      </c>
      <c r="AR58" s="201">
        <v>0</v>
      </c>
      <c r="AS58" s="201">
        <v>0</v>
      </c>
      <c r="AT58" s="201">
        <v>0</v>
      </c>
      <c r="AU58" s="2"/>
    </row>
    <row r="59" spans="1:47" x14ac:dyDescent="0.3">
      <c r="B59" s="48" t="s">
        <v>83</v>
      </c>
      <c r="C59" s="20">
        <v>0</v>
      </c>
      <c r="D59" s="20">
        <v>0</v>
      </c>
      <c r="E59" s="20">
        <v>0</v>
      </c>
      <c r="F59" s="20">
        <v>0</v>
      </c>
      <c r="G59" s="20">
        <f t="shared" ref="G59:P59" si="4">SUM($C$96:$F$96)*$C$21/10</f>
        <v>-603476.99650302192</v>
      </c>
      <c r="H59" s="20">
        <f t="shared" si="4"/>
        <v>-603476.99650302192</v>
      </c>
      <c r="I59" s="20">
        <f t="shared" si="4"/>
        <v>-603476.99650302192</v>
      </c>
      <c r="J59" s="20">
        <f t="shared" si="4"/>
        <v>-603476.99650302192</v>
      </c>
      <c r="K59" s="20">
        <f t="shared" si="4"/>
        <v>-603476.99650302192</v>
      </c>
      <c r="L59" s="20">
        <f t="shared" si="4"/>
        <v>-603476.99650302192</v>
      </c>
      <c r="M59" s="20">
        <f t="shared" si="4"/>
        <v>-603476.99650302192</v>
      </c>
      <c r="N59" s="20">
        <f t="shared" si="4"/>
        <v>-603476.99650302192</v>
      </c>
      <c r="O59" s="20">
        <f t="shared" si="4"/>
        <v>-603476.99650302192</v>
      </c>
      <c r="P59" s="20">
        <f t="shared" si="4"/>
        <v>-603476.99650302192</v>
      </c>
      <c r="Q59" s="20">
        <v>0</v>
      </c>
      <c r="R59" s="20">
        <v>0</v>
      </c>
      <c r="S59" s="20">
        <v>0</v>
      </c>
      <c r="T59" s="20">
        <v>0</v>
      </c>
      <c r="U59" s="20">
        <v>0</v>
      </c>
      <c r="V59" s="20">
        <v>0</v>
      </c>
      <c r="W59" s="20">
        <v>0</v>
      </c>
      <c r="X59" s="20">
        <v>0</v>
      </c>
      <c r="Y59" s="20">
        <v>0</v>
      </c>
      <c r="Z59" s="20">
        <v>0</v>
      </c>
      <c r="AA59" s="20">
        <v>0</v>
      </c>
      <c r="AB59" s="20">
        <v>0</v>
      </c>
      <c r="AC59" s="20">
        <v>0</v>
      </c>
      <c r="AD59" s="20">
        <v>0</v>
      </c>
      <c r="AE59" s="20">
        <v>0</v>
      </c>
      <c r="AF59" s="20">
        <v>0</v>
      </c>
      <c r="AG59" s="20">
        <v>0</v>
      </c>
      <c r="AH59" s="20">
        <v>0</v>
      </c>
      <c r="AI59" s="20">
        <v>0</v>
      </c>
      <c r="AJ59" s="20">
        <v>0</v>
      </c>
      <c r="AK59" s="201">
        <v>0</v>
      </c>
      <c r="AL59" s="201">
        <v>0</v>
      </c>
      <c r="AM59" s="201">
        <v>0</v>
      </c>
      <c r="AN59" s="201">
        <v>0</v>
      </c>
      <c r="AO59" s="201">
        <v>0</v>
      </c>
      <c r="AP59" s="201">
        <v>0</v>
      </c>
      <c r="AQ59" s="201">
        <v>0</v>
      </c>
      <c r="AR59" s="201">
        <v>0</v>
      </c>
      <c r="AS59" s="201">
        <v>0</v>
      </c>
      <c r="AT59" s="201">
        <v>0</v>
      </c>
      <c r="AU59" s="2"/>
    </row>
    <row r="60" spans="1:47" x14ac:dyDescent="0.3">
      <c r="B60" s="48" t="s">
        <v>84</v>
      </c>
      <c r="C60" s="20">
        <v>0</v>
      </c>
      <c r="D60" s="20">
        <v>0</v>
      </c>
      <c r="E60" s="20">
        <v>0</v>
      </c>
      <c r="F60" s="20">
        <v>0</v>
      </c>
      <c r="G60" s="20">
        <f>SUM($C$96:$F$96)*$C$22/5</f>
        <v>-285441.6410271005</v>
      </c>
      <c r="H60" s="20">
        <f>SUM($C$96:$F$96)*$C$22/5</f>
        <v>-285441.6410271005</v>
      </c>
      <c r="I60" s="20">
        <f>SUM($C$96:$F$96)*$C$22/5</f>
        <v>-285441.6410271005</v>
      </c>
      <c r="J60" s="20">
        <f>SUM($C$96:$F$96)*$C$22/5</f>
        <v>-285441.6410271005</v>
      </c>
      <c r="K60" s="20">
        <f>SUM($C$96:$F$96)*$C$22/5</f>
        <v>-285441.6410271005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v>0</v>
      </c>
      <c r="U60" s="20">
        <v>0</v>
      </c>
      <c r="V60" s="20">
        <v>0</v>
      </c>
      <c r="W60" s="20">
        <v>0</v>
      </c>
      <c r="X60" s="20">
        <v>0</v>
      </c>
      <c r="Y60" s="20">
        <v>0</v>
      </c>
      <c r="Z60" s="20">
        <v>0</v>
      </c>
      <c r="AA60" s="20">
        <v>0</v>
      </c>
      <c r="AB60" s="20">
        <v>0</v>
      </c>
      <c r="AC60" s="20">
        <v>0</v>
      </c>
      <c r="AD60" s="20">
        <v>0</v>
      </c>
      <c r="AE60" s="20">
        <v>0</v>
      </c>
      <c r="AF60" s="20">
        <v>0</v>
      </c>
      <c r="AG60" s="20">
        <v>0</v>
      </c>
      <c r="AH60" s="20">
        <v>0</v>
      </c>
      <c r="AI60" s="20">
        <v>0</v>
      </c>
      <c r="AJ60" s="20">
        <v>0</v>
      </c>
      <c r="AK60" s="201">
        <v>0</v>
      </c>
      <c r="AL60" s="201">
        <v>0</v>
      </c>
      <c r="AM60" s="201">
        <v>0</v>
      </c>
      <c r="AN60" s="201">
        <v>0</v>
      </c>
      <c r="AO60" s="201">
        <v>0</v>
      </c>
      <c r="AP60" s="201">
        <v>0</v>
      </c>
      <c r="AQ60" s="201">
        <v>0</v>
      </c>
      <c r="AR60" s="201">
        <v>0</v>
      </c>
      <c r="AS60" s="201">
        <v>0</v>
      </c>
      <c r="AT60" s="201">
        <v>0</v>
      </c>
      <c r="AU60" s="2"/>
    </row>
    <row r="61" spans="1:47" x14ac:dyDescent="0.3">
      <c r="B61" s="51" t="s">
        <v>85</v>
      </c>
      <c r="C61" s="52">
        <v>0</v>
      </c>
      <c r="D61" s="52">
        <v>0</v>
      </c>
      <c r="E61" s="52">
        <v>0</v>
      </c>
      <c r="F61" s="52">
        <v>0</v>
      </c>
      <c r="G61" s="52">
        <f>-(SUM(C96:F96))+SUM(G56:G60)</f>
        <v>165170377.25504971</v>
      </c>
      <c r="H61" s="52">
        <f>G61+SUM(H56:H60)</f>
        <v>160329657.43785378</v>
      </c>
      <c r="I61" s="52">
        <f t="shared" ref="I61:AT61" si="5">H61+SUM(I56:I60)</f>
        <v>155488937.62065786</v>
      </c>
      <c r="J61" s="52">
        <f t="shared" si="5"/>
        <v>150648217.80346194</v>
      </c>
      <c r="K61" s="52">
        <f t="shared" si="5"/>
        <v>145807497.98626602</v>
      </c>
      <c r="L61" s="52">
        <f t="shared" si="5"/>
        <v>141252219.81009719</v>
      </c>
      <c r="M61" s="52">
        <f t="shared" si="5"/>
        <v>136696941.63392836</v>
      </c>
      <c r="N61" s="52">
        <f t="shared" si="5"/>
        <v>132141663.45775953</v>
      </c>
      <c r="O61" s="52">
        <f t="shared" si="5"/>
        <v>127586385.2815907</v>
      </c>
      <c r="P61" s="52">
        <f t="shared" si="5"/>
        <v>123031107.10542187</v>
      </c>
      <c r="Q61" s="52">
        <f t="shared" si="5"/>
        <v>119079305.92575607</v>
      </c>
      <c r="R61" s="52">
        <f t="shared" si="5"/>
        <v>115127504.74609026</v>
      </c>
      <c r="S61" s="52">
        <f t="shared" si="5"/>
        <v>111175703.56642446</v>
      </c>
      <c r="T61" s="52">
        <f t="shared" si="5"/>
        <v>107223902.38675866</v>
      </c>
      <c r="U61" s="52">
        <f t="shared" si="5"/>
        <v>103272101.20709285</v>
      </c>
      <c r="V61" s="52">
        <f t="shared" si="5"/>
        <v>100363856.82827017</v>
      </c>
      <c r="W61" s="52">
        <f t="shared" si="5"/>
        <v>97455612.449447483</v>
      </c>
      <c r="X61" s="52">
        <f t="shared" si="5"/>
        <v>94547368.070624799</v>
      </c>
      <c r="Y61" s="52">
        <f t="shared" si="5"/>
        <v>91639123.691802114</v>
      </c>
      <c r="Z61" s="52">
        <f t="shared" si="5"/>
        <v>88730879.31297943</v>
      </c>
      <c r="AA61" s="52">
        <f t="shared" si="5"/>
        <v>85822634.934156746</v>
      </c>
      <c r="AB61" s="52">
        <f t="shared" si="5"/>
        <v>82914390.555334061</v>
      </c>
      <c r="AC61" s="52">
        <f t="shared" si="5"/>
        <v>80006146.176511377</v>
      </c>
      <c r="AD61" s="52">
        <f t="shared" si="5"/>
        <v>77097901.797688693</v>
      </c>
      <c r="AE61" s="52">
        <f t="shared" si="5"/>
        <v>74189657.418866009</v>
      </c>
      <c r="AF61" s="52">
        <f t="shared" si="5"/>
        <v>71281413.040043324</v>
      </c>
      <c r="AG61" s="52">
        <f t="shared" si="5"/>
        <v>68373168.66122064</v>
      </c>
      <c r="AH61" s="52">
        <f t="shared" si="5"/>
        <v>65464924.282397963</v>
      </c>
      <c r="AI61" s="52">
        <f t="shared" si="5"/>
        <v>62556679.903575286</v>
      </c>
      <c r="AJ61" s="52">
        <f t="shared" si="5"/>
        <v>59648435.524752609</v>
      </c>
      <c r="AK61" s="202">
        <f t="shared" si="5"/>
        <v>56740191.145929933</v>
      </c>
      <c r="AL61" s="202">
        <f t="shared" si="5"/>
        <v>53831946.767107256</v>
      </c>
      <c r="AM61" s="202">
        <f t="shared" si="5"/>
        <v>50923702.388284579</v>
      </c>
      <c r="AN61" s="202">
        <f t="shared" si="5"/>
        <v>48015458.009461902</v>
      </c>
      <c r="AO61" s="202">
        <f t="shared" si="5"/>
        <v>45107213.630639225</v>
      </c>
      <c r="AP61" s="202">
        <f t="shared" si="5"/>
        <v>42198969.251816548</v>
      </c>
      <c r="AQ61" s="202">
        <f t="shared" si="5"/>
        <v>39290724.872993872</v>
      </c>
      <c r="AR61" s="202">
        <f t="shared" si="5"/>
        <v>36382480.494171195</v>
      </c>
      <c r="AS61" s="202">
        <f t="shared" si="5"/>
        <v>33474236.115348518</v>
      </c>
      <c r="AT61" s="202">
        <f t="shared" si="5"/>
        <v>30565991.736525841</v>
      </c>
      <c r="AU61" s="2"/>
    </row>
    <row r="62" spans="1:47" x14ac:dyDescent="0.3">
      <c r="B62" s="48" t="s">
        <v>86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f>SUM($P$97:$Q$97)/10</f>
        <v>-631125.16679124627</v>
      </c>
      <c r="S62" s="20">
        <f t="shared" ref="S62:AB62" si="6">SUM($P$97:$Q$97)/10</f>
        <v>-631125.16679124627</v>
      </c>
      <c r="T62" s="20">
        <f t="shared" si="6"/>
        <v>-631125.16679124627</v>
      </c>
      <c r="U62" s="20">
        <f t="shared" si="6"/>
        <v>-631125.16679124627</v>
      </c>
      <c r="V62" s="20">
        <f t="shared" si="6"/>
        <v>-631125.16679124627</v>
      </c>
      <c r="W62" s="20">
        <f t="shared" si="6"/>
        <v>-631125.16679124627</v>
      </c>
      <c r="X62" s="20">
        <f t="shared" si="6"/>
        <v>-631125.16679124627</v>
      </c>
      <c r="Y62" s="20">
        <f t="shared" si="6"/>
        <v>-631125.16679124627</v>
      </c>
      <c r="Z62" s="20">
        <f t="shared" si="6"/>
        <v>-631125.16679124627</v>
      </c>
      <c r="AA62" s="20">
        <f t="shared" si="6"/>
        <v>-631125.16679124627</v>
      </c>
      <c r="AB62" s="20">
        <f t="shared" si="6"/>
        <v>-631125.16679124627</v>
      </c>
      <c r="AC62" s="20">
        <v>0</v>
      </c>
      <c r="AD62" s="20">
        <v>0</v>
      </c>
      <c r="AE62" s="20">
        <v>0</v>
      </c>
      <c r="AF62" s="20">
        <v>0</v>
      </c>
      <c r="AG62" s="20">
        <v>0</v>
      </c>
      <c r="AH62" s="20">
        <v>0</v>
      </c>
      <c r="AI62" s="20">
        <v>0</v>
      </c>
      <c r="AJ62" s="20">
        <v>0</v>
      </c>
      <c r="AK62" s="201">
        <v>0</v>
      </c>
      <c r="AL62" s="201">
        <v>0</v>
      </c>
      <c r="AM62" s="201">
        <v>0</v>
      </c>
      <c r="AN62" s="201">
        <v>0</v>
      </c>
      <c r="AO62" s="201">
        <v>0</v>
      </c>
      <c r="AP62" s="201">
        <v>0</v>
      </c>
      <c r="AQ62" s="201">
        <v>0</v>
      </c>
      <c r="AR62" s="201">
        <v>0</v>
      </c>
      <c r="AS62" s="201">
        <v>0</v>
      </c>
      <c r="AT62" s="201">
        <v>0</v>
      </c>
      <c r="AU62" s="2"/>
    </row>
    <row r="63" spans="1:47" x14ac:dyDescent="0.3">
      <c r="A63" s="54"/>
      <c r="B63" s="51" t="s">
        <v>87</v>
      </c>
      <c r="C63" s="52">
        <v>0</v>
      </c>
      <c r="D63" s="52">
        <v>0</v>
      </c>
      <c r="E63" s="52">
        <v>0</v>
      </c>
      <c r="F63" s="52">
        <v>0</v>
      </c>
      <c r="G63" s="52">
        <v>0</v>
      </c>
      <c r="H63" s="52">
        <v>0</v>
      </c>
      <c r="I63" s="52">
        <v>0</v>
      </c>
      <c r="J63" s="52">
        <v>0</v>
      </c>
      <c r="K63" s="52">
        <v>0</v>
      </c>
      <c r="L63" s="52">
        <v>0</v>
      </c>
      <c r="M63" s="52">
        <v>0</v>
      </c>
      <c r="N63" s="52">
        <v>0</v>
      </c>
      <c r="O63" s="52">
        <v>0</v>
      </c>
      <c r="P63" s="52">
        <v>0</v>
      </c>
      <c r="Q63" s="52">
        <v>0</v>
      </c>
      <c r="R63" s="52">
        <f>-SUM(P97:Q97)</f>
        <v>6311251.6679124627</v>
      </c>
      <c r="S63" s="52">
        <f>R63+S62</f>
        <v>5680126.5011212165</v>
      </c>
      <c r="T63" s="52">
        <f t="shared" ref="T63:AB63" si="7">S63+T62</f>
        <v>5049001.3343299702</v>
      </c>
      <c r="U63" s="52">
        <f t="shared" si="7"/>
        <v>4417876.1675387239</v>
      </c>
      <c r="V63" s="52">
        <f t="shared" si="7"/>
        <v>3786751.0007474776</v>
      </c>
      <c r="W63" s="52">
        <f t="shared" si="7"/>
        <v>3155625.8339562314</v>
      </c>
      <c r="X63" s="52">
        <f t="shared" si="7"/>
        <v>2524500.6671649851</v>
      </c>
      <c r="Y63" s="52">
        <f t="shared" si="7"/>
        <v>1893375.5003737388</v>
      </c>
      <c r="Z63" s="52">
        <f t="shared" si="7"/>
        <v>1262250.3335824925</v>
      </c>
      <c r="AA63" s="52">
        <f t="shared" si="7"/>
        <v>631125.16679124627</v>
      </c>
      <c r="AB63" s="52">
        <f t="shared" si="7"/>
        <v>0</v>
      </c>
      <c r="AC63" s="52">
        <v>0</v>
      </c>
      <c r="AD63" s="52">
        <v>0</v>
      </c>
      <c r="AE63" s="52">
        <v>0</v>
      </c>
      <c r="AF63" s="52">
        <v>0</v>
      </c>
      <c r="AG63" s="52">
        <v>0</v>
      </c>
      <c r="AH63" s="52">
        <v>0</v>
      </c>
      <c r="AI63" s="52">
        <v>0</v>
      </c>
      <c r="AJ63" s="52">
        <v>0</v>
      </c>
      <c r="AK63" s="202">
        <v>0</v>
      </c>
      <c r="AL63" s="202">
        <v>0</v>
      </c>
      <c r="AM63" s="202">
        <v>0</v>
      </c>
      <c r="AN63" s="202">
        <v>0</v>
      </c>
      <c r="AO63" s="202">
        <v>0</v>
      </c>
      <c r="AP63" s="202">
        <v>0</v>
      </c>
      <c r="AQ63" s="202">
        <v>0</v>
      </c>
      <c r="AR63" s="202">
        <v>0</v>
      </c>
      <c r="AS63" s="202">
        <v>0</v>
      </c>
      <c r="AT63" s="202">
        <v>0</v>
      </c>
      <c r="AU63" s="53"/>
    </row>
    <row r="64" spans="1:47" x14ac:dyDescent="0.3">
      <c r="B64" s="48" t="s">
        <v>88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20">
        <v>0</v>
      </c>
      <c r="P64" s="20">
        <v>0</v>
      </c>
      <c r="Q64" s="20">
        <v>0</v>
      </c>
      <c r="R64" s="20">
        <v>0</v>
      </c>
      <c r="S64" s="20">
        <v>0</v>
      </c>
      <c r="T64" s="20">
        <v>0</v>
      </c>
      <c r="U64" s="20">
        <v>0</v>
      </c>
      <c r="V64" s="20">
        <v>0</v>
      </c>
      <c r="W64" s="20">
        <v>0</v>
      </c>
      <c r="X64" s="20">
        <f t="shared" ref="X64:AL64" si="8">SUM($U$97:$W$97)/15</f>
        <v>-1185062.9297508483</v>
      </c>
      <c r="Y64" s="20">
        <f t="shared" si="8"/>
        <v>-1185062.9297508483</v>
      </c>
      <c r="Z64" s="20">
        <f t="shared" si="8"/>
        <v>-1185062.9297508483</v>
      </c>
      <c r="AA64" s="20">
        <f t="shared" si="8"/>
        <v>-1185062.9297508483</v>
      </c>
      <c r="AB64" s="20">
        <f t="shared" si="8"/>
        <v>-1185062.9297508483</v>
      </c>
      <c r="AC64" s="20">
        <f t="shared" si="8"/>
        <v>-1185062.9297508483</v>
      </c>
      <c r="AD64" s="20">
        <f t="shared" si="8"/>
        <v>-1185062.9297508483</v>
      </c>
      <c r="AE64" s="20">
        <f t="shared" si="8"/>
        <v>-1185062.9297508483</v>
      </c>
      <c r="AF64" s="20">
        <f t="shared" si="8"/>
        <v>-1185062.9297508483</v>
      </c>
      <c r="AG64" s="20">
        <f t="shared" si="8"/>
        <v>-1185062.9297508483</v>
      </c>
      <c r="AH64" s="20">
        <f t="shared" si="8"/>
        <v>-1185062.9297508483</v>
      </c>
      <c r="AI64" s="20">
        <f t="shared" si="8"/>
        <v>-1185062.9297508483</v>
      </c>
      <c r="AJ64" s="20">
        <f t="shared" si="8"/>
        <v>-1185062.9297508483</v>
      </c>
      <c r="AK64" s="201">
        <f t="shared" si="8"/>
        <v>-1185062.9297508483</v>
      </c>
      <c r="AL64" s="201">
        <f t="shared" si="8"/>
        <v>-1185062.9297508483</v>
      </c>
      <c r="AM64" s="201">
        <v>0</v>
      </c>
      <c r="AN64" s="201">
        <v>0</v>
      </c>
      <c r="AO64" s="201">
        <f t="shared" ref="AO64:AT64" si="9">-$C$16*AN65</f>
        <v>0</v>
      </c>
      <c r="AP64" s="201">
        <f t="shared" si="9"/>
        <v>0</v>
      </c>
      <c r="AQ64" s="201">
        <f t="shared" si="9"/>
        <v>0</v>
      </c>
      <c r="AR64" s="201">
        <f t="shared" si="9"/>
        <v>0</v>
      </c>
      <c r="AS64" s="201">
        <f t="shared" si="9"/>
        <v>0</v>
      </c>
      <c r="AT64" s="201">
        <f t="shared" si="9"/>
        <v>0</v>
      </c>
      <c r="AU64" s="2"/>
    </row>
    <row r="65" spans="1:47" x14ac:dyDescent="0.3">
      <c r="A65" s="54"/>
      <c r="B65" s="51" t="s">
        <v>89</v>
      </c>
      <c r="C65" s="52">
        <v>0</v>
      </c>
      <c r="D65" s="52">
        <v>0</v>
      </c>
      <c r="E65" s="52">
        <v>0</v>
      </c>
      <c r="F65" s="52">
        <v>0</v>
      </c>
      <c r="G65" s="52">
        <v>0</v>
      </c>
      <c r="H65" s="52">
        <v>0</v>
      </c>
      <c r="I65" s="52">
        <v>0</v>
      </c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52">
        <v>0</v>
      </c>
      <c r="P65" s="52">
        <v>0</v>
      </c>
      <c r="Q65" s="52">
        <v>0</v>
      </c>
      <c r="R65" s="52">
        <v>0</v>
      </c>
      <c r="S65" s="52">
        <v>0</v>
      </c>
      <c r="T65" s="52">
        <v>0</v>
      </c>
      <c r="U65" s="52">
        <v>0</v>
      </c>
      <c r="V65" s="52">
        <v>0</v>
      </c>
      <c r="W65" s="52">
        <v>0</v>
      </c>
      <c r="X65" s="52">
        <f>-(SUM($U$97:$W$97))+X64</f>
        <v>16590881.016511876</v>
      </c>
      <c r="Y65" s="52">
        <f>X65+Y64</f>
        <v>15405818.086761028</v>
      </c>
      <c r="Z65" s="52">
        <f t="shared" ref="Z65:AL65" si="10">Y65+Z64</f>
        <v>14220755.157010179</v>
      </c>
      <c r="AA65" s="52">
        <f t="shared" si="10"/>
        <v>13035692.22725933</v>
      </c>
      <c r="AB65" s="52">
        <f t="shared" si="10"/>
        <v>11850629.297508482</v>
      </c>
      <c r="AC65" s="52">
        <f t="shared" si="10"/>
        <v>10665566.367757633</v>
      </c>
      <c r="AD65" s="52">
        <f t="shared" si="10"/>
        <v>9480503.4380067848</v>
      </c>
      <c r="AE65" s="52">
        <f t="shared" si="10"/>
        <v>8295440.5082559362</v>
      </c>
      <c r="AF65" s="52">
        <f t="shared" si="10"/>
        <v>7110377.5785050876</v>
      </c>
      <c r="AG65" s="52">
        <f t="shared" si="10"/>
        <v>5925314.6487542391</v>
      </c>
      <c r="AH65" s="52">
        <f t="shared" si="10"/>
        <v>4740251.7190033905</v>
      </c>
      <c r="AI65" s="52">
        <f t="shared" si="10"/>
        <v>3555188.789252542</v>
      </c>
      <c r="AJ65" s="52">
        <f t="shared" si="10"/>
        <v>2370125.8595016934</v>
      </c>
      <c r="AK65" s="202">
        <f t="shared" si="10"/>
        <v>1185062.9297508451</v>
      </c>
      <c r="AL65" s="202">
        <f t="shared" si="10"/>
        <v>-3.2596290111541748E-9</v>
      </c>
      <c r="AM65" s="202">
        <v>0</v>
      </c>
      <c r="AN65" s="202">
        <v>0</v>
      </c>
      <c r="AO65" s="202">
        <f t="shared" ref="AO65:AT65" si="11">AN65+AO64</f>
        <v>0</v>
      </c>
      <c r="AP65" s="202">
        <f t="shared" si="11"/>
        <v>0</v>
      </c>
      <c r="AQ65" s="202">
        <f t="shared" si="11"/>
        <v>0</v>
      </c>
      <c r="AR65" s="202">
        <f t="shared" si="11"/>
        <v>0</v>
      </c>
      <c r="AS65" s="202">
        <f t="shared" si="11"/>
        <v>0</v>
      </c>
      <c r="AT65" s="202">
        <f t="shared" si="11"/>
        <v>0</v>
      </c>
      <c r="AU65" s="53"/>
    </row>
    <row r="66" spans="1:47" x14ac:dyDescent="0.3">
      <c r="B66" s="48" t="s">
        <v>90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O66" s="20">
        <v>0</v>
      </c>
      <c r="P66" s="20">
        <v>0</v>
      </c>
      <c r="Q66" s="20">
        <v>0</v>
      </c>
      <c r="R66" s="20">
        <v>0</v>
      </c>
      <c r="S66" s="20">
        <v>0</v>
      </c>
      <c r="T66" s="20">
        <v>0</v>
      </c>
      <c r="U66" s="20">
        <v>0</v>
      </c>
      <c r="V66" s="20">
        <v>0</v>
      </c>
      <c r="W66" s="20">
        <v>0</v>
      </c>
      <c r="X66" s="20">
        <v>0</v>
      </c>
      <c r="Y66" s="20">
        <v>0</v>
      </c>
      <c r="Z66" s="20">
        <v>0</v>
      </c>
      <c r="AA66" s="20">
        <v>0</v>
      </c>
      <c r="AB66" s="20">
        <v>0</v>
      </c>
      <c r="AC66" s="20">
        <f>SUM($AA$97:$AB$97)/10</f>
        <v>-783147.88505724561</v>
      </c>
      <c r="AD66" s="20">
        <f t="shared" ref="AD66:AM66" si="12">SUM($AA$97:$AB$97)/10</f>
        <v>-783147.88505724561</v>
      </c>
      <c r="AE66" s="20">
        <f t="shared" si="12"/>
        <v>-783147.88505724561</v>
      </c>
      <c r="AF66" s="20">
        <f t="shared" si="12"/>
        <v>-783147.88505724561</v>
      </c>
      <c r="AG66" s="20">
        <f t="shared" si="12"/>
        <v>-783147.88505724561</v>
      </c>
      <c r="AH66" s="20">
        <f t="shared" si="12"/>
        <v>-783147.88505724561</v>
      </c>
      <c r="AI66" s="20">
        <f t="shared" si="12"/>
        <v>-783147.88505724561</v>
      </c>
      <c r="AJ66" s="20">
        <f t="shared" si="12"/>
        <v>-783147.88505724561</v>
      </c>
      <c r="AK66" s="201">
        <f t="shared" si="12"/>
        <v>-783147.88505724561</v>
      </c>
      <c r="AL66" s="201">
        <f t="shared" si="12"/>
        <v>-783147.88505724561</v>
      </c>
      <c r="AM66" s="201">
        <f t="shared" si="12"/>
        <v>-783147.88505724561</v>
      </c>
      <c r="AN66" s="201">
        <v>0</v>
      </c>
      <c r="AO66" s="201">
        <f t="shared" ref="AO66:AT66" si="13">-$C$16*AN67</f>
        <v>0</v>
      </c>
      <c r="AP66" s="201">
        <f t="shared" si="13"/>
        <v>0</v>
      </c>
      <c r="AQ66" s="201">
        <f t="shared" si="13"/>
        <v>0</v>
      </c>
      <c r="AR66" s="201">
        <f t="shared" si="13"/>
        <v>0</v>
      </c>
      <c r="AS66" s="201">
        <f t="shared" si="13"/>
        <v>0</v>
      </c>
      <c r="AT66" s="201">
        <f t="shared" si="13"/>
        <v>0</v>
      </c>
      <c r="AU66" s="47"/>
    </row>
    <row r="67" spans="1:47" x14ac:dyDescent="0.3">
      <c r="A67" s="54"/>
      <c r="B67" s="51" t="s">
        <v>91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2">
        <v>0</v>
      </c>
      <c r="J67" s="52">
        <v>0</v>
      </c>
      <c r="K67" s="52">
        <v>0</v>
      </c>
      <c r="L67" s="52">
        <v>0</v>
      </c>
      <c r="M67" s="52">
        <v>0</v>
      </c>
      <c r="N67" s="52">
        <v>0</v>
      </c>
      <c r="O67" s="52">
        <v>0</v>
      </c>
      <c r="P67" s="52">
        <v>0</v>
      </c>
      <c r="Q67" s="52">
        <v>0</v>
      </c>
      <c r="R67" s="52">
        <v>0</v>
      </c>
      <c r="S67" s="52">
        <v>0</v>
      </c>
      <c r="T67" s="52">
        <v>0</v>
      </c>
      <c r="U67" s="52">
        <v>0</v>
      </c>
      <c r="V67" s="52">
        <v>0</v>
      </c>
      <c r="W67" s="52">
        <v>0</v>
      </c>
      <c r="X67" s="52">
        <v>0</v>
      </c>
      <c r="Y67" s="52">
        <v>0</v>
      </c>
      <c r="Z67" s="52">
        <v>0</v>
      </c>
      <c r="AA67" s="52">
        <v>0</v>
      </c>
      <c r="AB67" s="52">
        <v>0</v>
      </c>
      <c r="AC67" s="52">
        <f>-SUM(AA97:AB97)</f>
        <v>7831478.8505724557</v>
      </c>
      <c r="AD67" s="52">
        <f>AC67+AD66</f>
        <v>7048330.9655152103</v>
      </c>
      <c r="AE67" s="52">
        <f t="shared" ref="AE67:AM67" si="14">AD67+AE66</f>
        <v>6265183.0804579649</v>
      </c>
      <c r="AF67" s="52">
        <f t="shared" si="14"/>
        <v>5482035.1954007195</v>
      </c>
      <c r="AG67" s="52">
        <f t="shared" si="14"/>
        <v>4698887.3103434741</v>
      </c>
      <c r="AH67" s="52">
        <f t="shared" si="14"/>
        <v>3915739.4252862288</v>
      </c>
      <c r="AI67" s="52">
        <f t="shared" si="14"/>
        <v>3132591.5402289834</v>
      </c>
      <c r="AJ67" s="52">
        <f t="shared" si="14"/>
        <v>2349443.655171738</v>
      </c>
      <c r="AK67" s="202">
        <f t="shared" si="14"/>
        <v>1566295.7701144924</v>
      </c>
      <c r="AL67" s="202">
        <f t="shared" si="14"/>
        <v>783147.88505724678</v>
      </c>
      <c r="AM67" s="202">
        <f t="shared" si="14"/>
        <v>1.1641532182693481E-9</v>
      </c>
      <c r="AN67" s="202">
        <v>0</v>
      </c>
      <c r="AO67" s="202">
        <f t="shared" ref="AO67:AT67" si="15">AN67+AO66</f>
        <v>0</v>
      </c>
      <c r="AP67" s="202">
        <f t="shared" si="15"/>
        <v>0</v>
      </c>
      <c r="AQ67" s="202">
        <f t="shared" si="15"/>
        <v>0</v>
      </c>
      <c r="AR67" s="202">
        <f t="shared" si="15"/>
        <v>0</v>
      </c>
      <c r="AS67" s="202">
        <f t="shared" si="15"/>
        <v>0</v>
      </c>
      <c r="AT67" s="202">
        <f t="shared" si="15"/>
        <v>0</v>
      </c>
      <c r="AU67" s="55"/>
    </row>
    <row r="68" spans="1:47" x14ac:dyDescent="0.3">
      <c r="B68" s="48" t="s">
        <v>92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v>0</v>
      </c>
      <c r="U68" s="20">
        <v>0</v>
      </c>
      <c r="V68" s="20">
        <v>0</v>
      </c>
      <c r="W68" s="20">
        <v>0</v>
      </c>
      <c r="X68" s="20">
        <v>0</v>
      </c>
      <c r="Y68" s="20">
        <v>0</v>
      </c>
      <c r="Z68" s="20">
        <v>0</v>
      </c>
      <c r="AA68" s="20">
        <v>0</v>
      </c>
      <c r="AB68" s="20">
        <v>0</v>
      </c>
      <c r="AC68" s="20">
        <v>0</v>
      </c>
      <c r="AD68" s="20">
        <v>0</v>
      </c>
      <c r="AE68" s="20">
        <v>0</v>
      </c>
      <c r="AF68" s="20">
        <v>0</v>
      </c>
      <c r="AG68" s="20">
        <v>0</v>
      </c>
      <c r="AH68" s="20">
        <v>0</v>
      </c>
      <c r="AI68" s="20">
        <v>0</v>
      </c>
      <c r="AJ68" s="20">
        <v>0</v>
      </c>
      <c r="AK68" s="201">
        <v>0</v>
      </c>
      <c r="AL68" s="201">
        <v>0</v>
      </c>
      <c r="AM68" s="201">
        <v>0</v>
      </c>
      <c r="AN68" s="201">
        <v>0</v>
      </c>
      <c r="AO68" s="201">
        <f>SUM($AL$97:$AN$97)/14</f>
        <v>-2434624.3675181544</v>
      </c>
      <c r="AP68" s="201">
        <f t="shared" ref="AP68:AT68" si="16">SUM($AL$97:$AN$97)/14</f>
        <v>-2434624.3675181544</v>
      </c>
      <c r="AQ68" s="201">
        <f t="shared" si="16"/>
        <v>-2434624.3675181544</v>
      </c>
      <c r="AR68" s="201">
        <f t="shared" si="16"/>
        <v>-2434624.3675181544</v>
      </c>
      <c r="AS68" s="201">
        <f t="shared" si="16"/>
        <v>-2434624.3675181544</v>
      </c>
      <c r="AT68" s="201">
        <f t="shared" si="16"/>
        <v>-2434624.3675181544</v>
      </c>
      <c r="AU68" s="20"/>
    </row>
    <row r="69" spans="1:47" x14ac:dyDescent="0.3">
      <c r="A69" s="54"/>
      <c r="B69" s="56" t="s">
        <v>93</v>
      </c>
      <c r="C69" s="57">
        <v>0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0</v>
      </c>
      <c r="J69" s="57">
        <v>0</v>
      </c>
      <c r="K69" s="57">
        <v>0</v>
      </c>
      <c r="L69" s="57">
        <v>0</v>
      </c>
      <c r="M69" s="57">
        <v>0</v>
      </c>
      <c r="N69" s="57">
        <v>0</v>
      </c>
      <c r="O69" s="57">
        <v>0</v>
      </c>
      <c r="P69" s="57">
        <v>0</v>
      </c>
      <c r="Q69" s="57">
        <v>0</v>
      </c>
      <c r="R69" s="57">
        <v>0</v>
      </c>
      <c r="S69" s="57">
        <v>0</v>
      </c>
      <c r="T69" s="57">
        <v>0</v>
      </c>
      <c r="U69" s="57">
        <v>0</v>
      </c>
      <c r="V69" s="57">
        <v>0</v>
      </c>
      <c r="W69" s="57">
        <v>0</v>
      </c>
      <c r="X69" s="57">
        <v>0</v>
      </c>
      <c r="Y69" s="57">
        <v>0</v>
      </c>
      <c r="Z69" s="57">
        <v>0</v>
      </c>
      <c r="AA69" s="57">
        <v>0</v>
      </c>
      <c r="AB69" s="57">
        <v>0</v>
      </c>
      <c r="AC69" s="57">
        <v>0</v>
      </c>
      <c r="AD69" s="57">
        <v>0</v>
      </c>
      <c r="AE69" s="57">
        <v>0</v>
      </c>
      <c r="AF69" s="57">
        <v>0</v>
      </c>
      <c r="AG69" s="57">
        <v>0</v>
      </c>
      <c r="AH69" s="57">
        <v>0</v>
      </c>
      <c r="AI69" s="57">
        <v>0</v>
      </c>
      <c r="AJ69" s="57">
        <v>0</v>
      </c>
      <c r="AK69" s="203">
        <v>0</v>
      </c>
      <c r="AL69" s="203">
        <v>0</v>
      </c>
      <c r="AM69" s="203">
        <v>0</v>
      </c>
      <c r="AN69" s="203">
        <v>0</v>
      </c>
      <c r="AO69" s="203">
        <f>-(SUM(AL97:AN97))-AO68</f>
        <v>36519365.512772322</v>
      </c>
      <c r="AP69" s="203">
        <f>AO69+AP68</f>
        <v>34084741.145254165</v>
      </c>
      <c r="AQ69" s="203">
        <f t="shared" ref="AQ69:AT69" si="17">AP69+AQ68</f>
        <v>31650116.777736012</v>
      </c>
      <c r="AR69" s="203">
        <f t="shared" si="17"/>
        <v>29215492.410217859</v>
      </c>
      <c r="AS69" s="203">
        <f t="shared" si="17"/>
        <v>26780868.042699706</v>
      </c>
      <c r="AT69" s="203">
        <f t="shared" si="17"/>
        <v>24346243.675181553</v>
      </c>
      <c r="AU69" s="53"/>
    </row>
    <row r="70" spans="1:47" x14ac:dyDescent="0.3">
      <c r="A70" s="54"/>
      <c r="B70" s="51" t="s">
        <v>94</v>
      </c>
      <c r="C70" s="52">
        <v>0</v>
      </c>
      <c r="D70" s="52">
        <v>0</v>
      </c>
      <c r="E70" s="52">
        <v>0</v>
      </c>
      <c r="F70" s="52">
        <v>0</v>
      </c>
      <c r="G70" s="52">
        <f>SUM(G56:G60)+G62+G64+G66+G68</f>
        <v>-4840719.8171959259</v>
      </c>
      <c r="H70" s="52">
        <f t="shared" ref="H70:AT70" si="18">SUM(H56:H60)+H62+H64+H66+H68</f>
        <v>-4840719.8171959259</v>
      </c>
      <c r="I70" s="52">
        <f t="shared" si="18"/>
        <v>-4840719.8171959259</v>
      </c>
      <c r="J70" s="52">
        <f t="shared" si="18"/>
        <v>-4840719.8171959259</v>
      </c>
      <c r="K70" s="52">
        <f t="shared" si="18"/>
        <v>-4840719.8171959259</v>
      </c>
      <c r="L70" s="52">
        <f t="shared" si="18"/>
        <v>-4555278.1761688255</v>
      </c>
      <c r="M70" s="52">
        <f t="shared" si="18"/>
        <v>-4555278.1761688255</v>
      </c>
      <c r="N70" s="52">
        <f t="shared" si="18"/>
        <v>-4555278.1761688255</v>
      </c>
      <c r="O70" s="52">
        <f t="shared" si="18"/>
        <v>-4555278.1761688255</v>
      </c>
      <c r="P70" s="52">
        <f t="shared" si="18"/>
        <v>-4555278.1761688255</v>
      </c>
      <c r="Q70" s="52">
        <f t="shared" si="18"/>
        <v>-3951801.1796658039</v>
      </c>
      <c r="R70" s="52">
        <f t="shared" si="18"/>
        <v>-4582926.3464570502</v>
      </c>
      <c r="S70" s="52">
        <f t="shared" si="18"/>
        <v>-4582926.3464570502</v>
      </c>
      <c r="T70" s="52">
        <f t="shared" si="18"/>
        <v>-4582926.3464570502</v>
      </c>
      <c r="U70" s="52">
        <f t="shared" si="18"/>
        <v>-4582926.3464570502</v>
      </c>
      <c r="V70" s="52">
        <f t="shared" si="18"/>
        <v>-3539369.5456139245</v>
      </c>
      <c r="W70" s="52">
        <f t="shared" si="18"/>
        <v>-3539369.5456139245</v>
      </c>
      <c r="X70" s="52">
        <f t="shared" si="18"/>
        <v>-4724432.4753647726</v>
      </c>
      <c r="Y70" s="52">
        <f t="shared" si="18"/>
        <v>-4724432.4753647726</v>
      </c>
      <c r="Z70" s="52">
        <f t="shared" si="18"/>
        <v>-4724432.4753647726</v>
      </c>
      <c r="AA70" s="52">
        <f t="shared" si="18"/>
        <v>-4724432.4753647726</v>
      </c>
      <c r="AB70" s="52">
        <f t="shared" si="18"/>
        <v>-4724432.4753647726</v>
      </c>
      <c r="AC70" s="52">
        <f t="shared" si="18"/>
        <v>-4876455.1936307717</v>
      </c>
      <c r="AD70" s="52">
        <f t="shared" si="18"/>
        <v>-4876455.1936307717</v>
      </c>
      <c r="AE70" s="52">
        <f t="shared" si="18"/>
        <v>-4876455.1936307717</v>
      </c>
      <c r="AF70" s="52">
        <f t="shared" si="18"/>
        <v>-4876455.1936307717</v>
      </c>
      <c r="AG70" s="52">
        <f t="shared" si="18"/>
        <v>-4876455.1936307717</v>
      </c>
      <c r="AH70" s="52">
        <f t="shared" si="18"/>
        <v>-4876455.1936307717</v>
      </c>
      <c r="AI70" s="52">
        <f t="shared" si="18"/>
        <v>-4876455.1936307717</v>
      </c>
      <c r="AJ70" s="52">
        <f t="shared" si="18"/>
        <v>-4876455.1936307717</v>
      </c>
      <c r="AK70" s="202">
        <f t="shared" si="18"/>
        <v>-4876455.1936307717</v>
      </c>
      <c r="AL70" s="202">
        <f t="shared" si="18"/>
        <v>-4876455.1936307717</v>
      </c>
      <c r="AM70" s="202">
        <f t="shared" si="18"/>
        <v>-3691392.2638799241</v>
      </c>
      <c r="AN70" s="202">
        <f t="shared" si="18"/>
        <v>-2908244.3788226782</v>
      </c>
      <c r="AO70" s="202">
        <f t="shared" si="18"/>
        <v>-5342868.7463408327</v>
      </c>
      <c r="AP70" s="202">
        <f t="shared" si="18"/>
        <v>-5342868.7463408327</v>
      </c>
      <c r="AQ70" s="202">
        <f t="shared" si="18"/>
        <v>-5342868.7463408327</v>
      </c>
      <c r="AR70" s="202">
        <f t="shared" si="18"/>
        <v>-5342868.7463408327</v>
      </c>
      <c r="AS70" s="202">
        <f t="shared" si="18"/>
        <v>-5342868.7463408327</v>
      </c>
      <c r="AT70" s="202">
        <f t="shared" si="18"/>
        <v>-5342868.7463408327</v>
      </c>
      <c r="AU70" s="53"/>
    </row>
    <row r="71" spans="1:47" x14ac:dyDescent="0.3">
      <c r="A71" s="54"/>
      <c r="B71" s="58" t="s">
        <v>95</v>
      </c>
      <c r="C71" s="52">
        <f>C61+C65+C69</f>
        <v>0</v>
      </c>
      <c r="D71" s="52">
        <f t="shared" ref="D71:F71" si="19">D61+D65+D69</f>
        <v>0</v>
      </c>
      <c r="E71" s="52">
        <f t="shared" si="19"/>
        <v>0</v>
      </c>
      <c r="F71" s="52">
        <f t="shared" si="19"/>
        <v>0</v>
      </c>
      <c r="G71" s="52">
        <f>G61+G63+G65+G67+G69</f>
        <v>165170377.25504971</v>
      </c>
      <c r="H71" s="52">
        <f t="shared" ref="H71:AT71" si="20">H61+H63+H65+H67+H69</f>
        <v>160329657.43785378</v>
      </c>
      <c r="I71" s="52">
        <f t="shared" si="20"/>
        <v>155488937.62065786</v>
      </c>
      <c r="J71" s="52">
        <f t="shared" si="20"/>
        <v>150648217.80346194</v>
      </c>
      <c r="K71" s="52">
        <f t="shared" si="20"/>
        <v>145807497.98626602</v>
      </c>
      <c r="L71" s="52">
        <f t="shared" si="20"/>
        <v>141252219.81009719</v>
      </c>
      <c r="M71" s="52">
        <f t="shared" si="20"/>
        <v>136696941.63392836</v>
      </c>
      <c r="N71" s="52">
        <f t="shared" si="20"/>
        <v>132141663.45775953</v>
      </c>
      <c r="O71" s="52">
        <f t="shared" si="20"/>
        <v>127586385.2815907</v>
      </c>
      <c r="P71" s="52">
        <f t="shared" si="20"/>
        <v>123031107.10542187</v>
      </c>
      <c r="Q71" s="52">
        <f t="shared" si="20"/>
        <v>119079305.92575607</v>
      </c>
      <c r="R71" s="52">
        <f t="shared" si="20"/>
        <v>121438756.41400273</v>
      </c>
      <c r="S71" s="52">
        <f t="shared" si="20"/>
        <v>116855830.06754568</v>
      </c>
      <c r="T71" s="52">
        <f t="shared" si="20"/>
        <v>112272903.72108862</v>
      </c>
      <c r="U71" s="52">
        <f t="shared" si="20"/>
        <v>107689977.37463157</v>
      </c>
      <c r="V71" s="52">
        <f t="shared" si="20"/>
        <v>104150607.82901764</v>
      </c>
      <c r="W71" s="52">
        <f t="shared" si="20"/>
        <v>100611238.28340371</v>
      </c>
      <c r="X71" s="52">
        <f t="shared" si="20"/>
        <v>113662749.75430165</v>
      </c>
      <c r="Y71" s="52">
        <f t="shared" si="20"/>
        <v>108938317.27893688</v>
      </c>
      <c r="Z71" s="52">
        <f t="shared" si="20"/>
        <v>104213884.8035721</v>
      </c>
      <c r="AA71" s="52">
        <f t="shared" si="20"/>
        <v>99489452.328207314</v>
      </c>
      <c r="AB71" s="52">
        <f t="shared" si="20"/>
        <v>94765019.85284254</v>
      </c>
      <c r="AC71" s="52">
        <f t="shared" si="20"/>
        <v>98503191.394841462</v>
      </c>
      <c r="AD71" s="52">
        <f t="shared" si="20"/>
        <v>93626736.201210693</v>
      </c>
      <c r="AE71" s="52">
        <f t="shared" si="20"/>
        <v>88750281.007579908</v>
      </c>
      <c r="AF71" s="52">
        <f t="shared" si="20"/>
        <v>83873825.813949123</v>
      </c>
      <c r="AG71" s="52">
        <f t="shared" si="20"/>
        <v>78997370.620318353</v>
      </c>
      <c r="AH71" s="52">
        <f t="shared" si="20"/>
        <v>74120915.426687583</v>
      </c>
      <c r="AI71" s="52">
        <f t="shared" si="20"/>
        <v>69244460.233056813</v>
      </c>
      <c r="AJ71" s="52">
        <f t="shared" si="20"/>
        <v>64368005.039426044</v>
      </c>
      <c r="AK71" s="202">
        <f t="shared" si="20"/>
        <v>59491549.845795266</v>
      </c>
      <c r="AL71" s="202">
        <f t="shared" si="20"/>
        <v>54615094.652164504</v>
      </c>
      <c r="AM71" s="202">
        <f t="shared" si="20"/>
        <v>50923702.388284579</v>
      </c>
      <c r="AN71" s="202">
        <f t="shared" si="20"/>
        <v>48015458.009461902</v>
      </c>
      <c r="AO71" s="202">
        <f t="shared" si="20"/>
        <v>81626579.143411547</v>
      </c>
      <c r="AP71" s="202">
        <f t="shared" si="20"/>
        <v>76283710.397070706</v>
      </c>
      <c r="AQ71" s="202">
        <f t="shared" si="20"/>
        <v>70940841.65072988</v>
      </c>
      <c r="AR71" s="202">
        <f t="shared" si="20"/>
        <v>65597972.904389054</v>
      </c>
      <c r="AS71" s="202">
        <f t="shared" si="20"/>
        <v>60255104.158048227</v>
      </c>
      <c r="AT71" s="202">
        <f t="shared" si="20"/>
        <v>54912235.411707394</v>
      </c>
      <c r="AU71" s="53"/>
    </row>
    <row r="72" spans="1:47" x14ac:dyDescent="0.3">
      <c r="B72" s="59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204"/>
      <c r="AL72" s="204"/>
      <c r="AM72" s="204"/>
      <c r="AN72" s="204"/>
      <c r="AO72" s="204"/>
      <c r="AP72" s="204"/>
      <c r="AQ72" s="204"/>
      <c r="AR72" s="204"/>
      <c r="AS72" s="204"/>
      <c r="AT72" s="204"/>
      <c r="AU72" s="2"/>
    </row>
    <row r="73" spans="1:47" ht="15" thickBot="1" x14ac:dyDescent="0.35">
      <c r="B73" s="61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200"/>
      <c r="AL73" s="200"/>
      <c r="AM73" s="200"/>
      <c r="AN73" s="200"/>
      <c r="AO73" s="200"/>
      <c r="AP73" s="200"/>
      <c r="AQ73" s="200"/>
      <c r="AR73" s="200"/>
      <c r="AS73" s="200"/>
      <c r="AT73" s="200"/>
      <c r="AU73" s="2"/>
    </row>
    <row r="74" spans="1:47" x14ac:dyDescent="0.3">
      <c r="B74" s="62" t="s">
        <v>96</v>
      </c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205"/>
      <c r="AL74" s="205"/>
      <c r="AM74" s="205"/>
      <c r="AN74" s="205"/>
      <c r="AO74" s="205"/>
      <c r="AP74" s="205"/>
      <c r="AQ74" s="205"/>
      <c r="AR74" s="205"/>
      <c r="AS74" s="205"/>
      <c r="AT74" s="206"/>
      <c r="AU74" s="2"/>
    </row>
    <row r="75" spans="1:47" x14ac:dyDescent="0.3">
      <c r="B75" s="64" t="s">
        <v>97</v>
      </c>
      <c r="C75" s="20">
        <v>0</v>
      </c>
      <c r="D75" s="20">
        <v>0</v>
      </c>
      <c r="E75" s="20">
        <v>0</v>
      </c>
      <c r="F75" s="20">
        <v>0</v>
      </c>
      <c r="G75" s="20">
        <f>-G51</f>
        <v>-4579224.8709058398</v>
      </c>
      <c r="H75" s="20">
        <f t="shared" ref="H75:AT75" si="21">-H51</f>
        <v>-3665024.2527951486</v>
      </c>
      <c r="I75" s="20">
        <f t="shared" si="21"/>
        <v>-4810074.6808413127</v>
      </c>
      <c r="J75" s="20">
        <f t="shared" si="21"/>
        <v>-4922752.6637038086</v>
      </c>
      <c r="K75" s="20">
        <f t="shared" si="21"/>
        <v>-12870721.787841758</v>
      </c>
      <c r="L75" s="20">
        <f t="shared" si="21"/>
        <v>-5156308.0742966067</v>
      </c>
      <c r="M75" s="20">
        <f t="shared" si="21"/>
        <v>-5277321.0760550471</v>
      </c>
      <c r="N75" s="20">
        <f t="shared" si="21"/>
        <v>-5401250.8591650324</v>
      </c>
      <c r="O75" s="20">
        <f t="shared" si="21"/>
        <v>-5528169.5791431032</v>
      </c>
      <c r="P75" s="20">
        <f t="shared" si="21"/>
        <v>-14264196.486164518</v>
      </c>
      <c r="Q75" s="20">
        <f t="shared" si="21"/>
        <v>-5791271.6462824829</v>
      </c>
      <c r="R75" s="20">
        <f t="shared" si="21"/>
        <v>-5927608.6425757455</v>
      </c>
      <c r="S75" s="20">
        <f t="shared" si="21"/>
        <v>-6067241.9726887867</v>
      </c>
      <c r="T75" s="20">
        <f t="shared" si="21"/>
        <v>-6210253.4263689686</v>
      </c>
      <c r="U75" s="20">
        <f t="shared" si="21"/>
        <v>-15812619.472109525</v>
      </c>
      <c r="V75" s="20">
        <f t="shared" si="21"/>
        <v>-6506748.3151444681</v>
      </c>
      <c r="W75" s="20">
        <f t="shared" si="21"/>
        <v>-6660405.945101901</v>
      </c>
      <c r="X75" s="20">
        <f t="shared" si="21"/>
        <v>-6817790.2008317355</v>
      </c>
      <c r="Y75" s="20">
        <f t="shared" si="21"/>
        <v>-6978993.824970345</v>
      </c>
      <c r="Z75" s="20">
        <f t="shared" si="21"/>
        <v>-17533777.566125192</v>
      </c>
      <c r="AA75" s="20">
        <f t="shared" si="21"/>
        <v>-7313242.0337353684</v>
      </c>
      <c r="AB75" s="20">
        <f t="shared" si="21"/>
        <v>-7486484.1749081584</v>
      </c>
      <c r="AC75" s="20">
        <f t="shared" si="21"/>
        <v>-7663940.9258228224</v>
      </c>
      <c r="AD75" s="20">
        <f t="shared" si="21"/>
        <v>-7845717.4852003111</v>
      </c>
      <c r="AE75" s="20">
        <f t="shared" si="21"/>
        <v>-19447574.458876446</v>
      </c>
      <c r="AF75" s="20">
        <f t="shared" si="21"/>
        <v>-8222664.3427790459</v>
      </c>
      <c r="AG75" s="20">
        <f t="shared" si="21"/>
        <v>-8418058.7697174083</v>
      </c>
      <c r="AH75" s="20">
        <f t="shared" si="21"/>
        <v>-8618221.4088436104</v>
      </c>
      <c r="AI75" s="20">
        <f t="shared" si="21"/>
        <v>-8823271.6290291194</v>
      </c>
      <c r="AJ75" s="20">
        <f t="shared" si="21"/>
        <v>-21576292.585520405</v>
      </c>
      <c r="AK75" s="201">
        <f t="shared" si="21"/>
        <v>-9248527.6699931324</v>
      </c>
      <c r="AL75" s="201">
        <f t="shared" si="21"/>
        <v>-9468987.8531201519</v>
      </c>
      <c r="AM75" s="201">
        <f t="shared" si="21"/>
        <v>-9694844.5088428352</v>
      </c>
      <c r="AN75" s="201">
        <f t="shared" si="21"/>
        <v>-9926233.1312741525</v>
      </c>
      <c r="AO75" s="201">
        <f t="shared" si="21"/>
        <v>-23944888.683635011</v>
      </c>
      <c r="AP75" s="201">
        <f t="shared" si="21"/>
        <v>-10406165.7604318</v>
      </c>
      <c r="AQ75" s="201">
        <f t="shared" si="21"/>
        <v>-10654998.540001947</v>
      </c>
      <c r="AR75" s="201">
        <f t="shared" si="21"/>
        <v>-10909941.022349512</v>
      </c>
      <c r="AS75" s="201">
        <f t="shared" si="21"/>
        <v>-11171147.057483964</v>
      </c>
      <c r="AT75" s="207">
        <f t="shared" si="21"/>
        <v>-26581327.530426417</v>
      </c>
      <c r="AU75" s="2"/>
    </row>
    <row r="76" spans="1:47" ht="15" thickBot="1" x14ac:dyDescent="0.35">
      <c r="A76" s="54"/>
      <c r="B76" s="65" t="s">
        <v>98</v>
      </c>
      <c r="C76" s="66"/>
      <c r="D76" s="66"/>
      <c r="E76" s="66"/>
      <c r="F76" s="66"/>
      <c r="G76" s="66">
        <f>G75</f>
        <v>-4579224.8709058398</v>
      </c>
      <c r="H76" s="66">
        <f t="shared" ref="H76:AT76" si="22">H75</f>
        <v>-3665024.2527951486</v>
      </c>
      <c r="I76" s="66">
        <f t="shared" si="22"/>
        <v>-4810074.6808413127</v>
      </c>
      <c r="J76" s="66">
        <f t="shared" si="22"/>
        <v>-4922752.6637038086</v>
      </c>
      <c r="K76" s="66">
        <f t="shared" si="22"/>
        <v>-12870721.787841758</v>
      </c>
      <c r="L76" s="66">
        <f t="shared" si="22"/>
        <v>-5156308.0742966067</v>
      </c>
      <c r="M76" s="66">
        <f t="shared" si="22"/>
        <v>-5277321.0760550471</v>
      </c>
      <c r="N76" s="66">
        <f t="shared" si="22"/>
        <v>-5401250.8591650324</v>
      </c>
      <c r="O76" s="66">
        <f t="shared" si="22"/>
        <v>-5528169.5791431032</v>
      </c>
      <c r="P76" s="66">
        <f t="shared" si="22"/>
        <v>-14264196.486164518</v>
      </c>
      <c r="Q76" s="66">
        <f t="shared" si="22"/>
        <v>-5791271.6462824829</v>
      </c>
      <c r="R76" s="66">
        <f t="shared" si="22"/>
        <v>-5927608.6425757455</v>
      </c>
      <c r="S76" s="66">
        <f t="shared" si="22"/>
        <v>-6067241.9726887867</v>
      </c>
      <c r="T76" s="66">
        <f t="shared" si="22"/>
        <v>-6210253.4263689686</v>
      </c>
      <c r="U76" s="66">
        <f t="shared" si="22"/>
        <v>-15812619.472109525</v>
      </c>
      <c r="V76" s="66">
        <f t="shared" si="22"/>
        <v>-6506748.3151444681</v>
      </c>
      <c r="W76" s="66">
        <f t="shared" si="22"/>
        <v>-6660405.945101901</v>
      </c>
      <c r="X76" s="66">
        <f t="shared" si="22"/>
        <v>-6817790.2008317355</v>
      </c>
      <c r="Y76" s="66">
        <f t="shared" si="22"/>
        <v>-6978993.824970345</v>
      </c>
      <c r="Z76" s="66">
        <f t="shared" si="22"/>
        <v>-17533777.566125192</v>
      </c>
      <c r="AA76" s="66">
        <f t="shared" si="22"/>
        <v>-7313242.0337353684</v>
      </c>
      <c r="AB76" s="66">
        <f t="shared" si="22"/>
        <v>-7486484.1749081584</v>
      </c>
      <c r="AC76" s="66">
        <f t="shared" si="22"/>
        <v>-7663940.9258228224</v>
      </c>
      <c r="AD76" s="66">
        <f t="shared" si="22"/>
        <v>-7845717.4852003111</v>
      </c>
      <c r="AE76" s="66">
        <f t="shared" si="22"/>
        <v>-19447574.458876446</v>
      </c>
      <c r="AF76" s="66">
        <f t="shared" si="22"/>
        <v>-8222664.3427790459</v>
      </c>
      <c r="AG76" s="66">
        <f t="shared" si="22"/>
        <v>-8418058.7697174083</v>
      </c>
      <c r="AH76" s="66">
        <f t="shared" si="22"/>
        <v>-8618221.4088436104</v>
      </c>
      <c r="AI76" s="66">
        <f t="shared" si="22"/>
        <v>-8823271.6290291194</v>
      </c>
      <c r="AJ76" s="66">
        <f t="shared" si="22"/>
        <v>-21576292.585520405</v>
      </c>
      <c r="AK76" s="208">
        <f t="shared" si="22"/>
        <v>-9248527.6699931324</v>
      </c>
      <c r="AL76" s="208">
        <f t="shared" si="22"/>
        <v>-9468987.8531201519</v>
      </c>
      <c r="AM76" s="208">
        <f t="shared" si="22"/>
        <v>-9694844.5088428352</v>
      </c>
      <c r="AN76" s="208">
        <f t="shared" si="22"/>
        <v>-9926233.1312741525</v>
      </c>
      <c r="AO76" s="208">
        <f t="shared" si="22"/>
        <v>-23944888.683635011</v>
      </c>
      <c r="AP76" s="208">
        <f t="shared" si="22"/>
        <v>-10406165.7604318</v>
      </c>
      <c r="AQ76" s="208">
        <f t="shared" si="22"/>
        <v>-10654998.540001947</v>
      </c>
      <c r="AR76" s="208">
        <f t="shared" si="22"/>
        <v>-10909941.022349512</v>
      </c>
      <c r="AS76" s="208">
        <f t="shared" si="22"/>
        <v>-11171147.057483964</v>
      </c>
      <c r="AT76" s="209">
        <f t="shared" si="22"/>
        <v>-26581327.530426417</v>
      </c>
      <c r="AU76" s="55"/>
    </row>
    <row r="77" spans="1:47" ht="15" thickBot="1" x14ac:dyDescent="0.35">
      <c r="A77" s="54"/>
      <c r="B77" s="67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202"/>
      <c r="AL77" s="202"/>
      <c r="AM77" s="202"/>
      <c r="AN77" s="202"/>
      <c r="AO77" s="202"/>
      <c r="AP77" s="202"/>
      <c r="AQ77" s="202"/>
      <c r="AR77" s="202"/>
      <c r="AS77" s="202"/>
      <c r="AT77" s="202"/>
      <c r="AU77" s="55"/>
    </row>
    <row r="78" spans="1:47" x14ac:dyDescent="0.3">
      <c r="B78" s="62" t="s">
        <v>99</v>
      </c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205"/>
      <c r="AL78" s="205"/>
      <c r="AM78" s="205"/>
      <c r="AN78" s="205"/>
      <c r="AO78" s="205"/>
      <c r="AP78" s="205"/>
      <c r="AQ78" s="205"/>
      <c r="AR78" s="205"/>
      <c r="AS78" s="205"/>
      <c r="AT78" s="206"/>
      <c r="AU78" s="44"/>
    </row>
    <row r="79" spans="1:47" x14ac:dyDescent="0.3">
      <c r="B79" s="64" t="s">
        <v>100</v>
      </c>
      <c r="C79" s="20">
        <v>0</v>
      </c>
      <c r="D79" s="20">
        <v>0</v>
      </c>
      <c r="E79" s="20">
        <v>0</v>
      </c>
      <c r="F79" s="20">
        <v>0</v>
      </c>
      <c r="G79" s="15">
        <f t="shared" ref="G79:AT80" si="23">G53</f>
        <v>4041373.4748107381</v>
      </c>
      <c r="H79" s="15">
        <f t="shared" si="23"/>
        <v>5388497.9664143175</v>
      </c>
      <c r="I79" s="15">
        <f t="shared" si="23"/>
        <v>5730051.417159508</v>
      </c>
      <c r="J79" s="15">
        <f t="shared" si="23"/>
        <v>5826428.2104328489</v>
      </c>
      <c r="K79" s="15">
        <f t="shared" si="23"/>
        <v>6162086.325855921</v>
      </c>
      <c r="L79" s="15">
        <f t="shared" si="23"/>
        <v>6262356.7415775042</v>
      </c>
      <c r="M79" s="15">
        <f t="shared" si="23"/>
        <v>6619677.294453972</v>
      </c>
      <c r="N79" s="15">
        <f t="shared" si="23"/>
        <v>6722941.5665168799</v>
      </c>
      <c r="O79" s="15">
        <f t="shared" si="23"/>
        <v>7101984.5544584068</v>
      </c>
      <c r="P79" s="15">
        <f t="shared" si="23"/>
        <v>7209420.7031126535</v>
      </c>
      <c r="Q79" s="15">
        <f t="shared" si="23"/>
        <v>7612457.8685782831</v>
      </c>
      <c r="R79" s="15">
        <f t="shared" si="23"/>
        <v>7724234.437638158</v>
      </c>
      <c r="S79" s="15">
        <f t="shared" si="23"/>
        <v>8197579.7829282973</v>
      </c>
      <c r="T79" s="15">
        <f t="shared" si="23"/>
        <v>8358866.0569378566</v>
      </c>
      <c r="U79" s="15">
        <f t="shared" si="23"/>
        <v>8864366.4851176888</v>
      </c>
      <c r="V79" s="15">
        <f t="shared" si="23"/>
        <v>9032168.7245972324</v>
      </c>
      <c r="W79" s="15">
        <f t="shared" si="23"/>
        <v>9571649.7910254784</v>
      </c>
      <c r="X79" s="15">
        <f t="shared" si="23"/>
        <v>9833799.5279549267</v>
      </c>
      <c r="Y79" s="15">
        <f t="shared" si="23"/>
        <v>10503825.615185706</v>
      </c>
      <c r="Z79" s="15">
        <f t="shared" si="23"/>
        <v>10776566.201487105</v>
      </c>
      <c r="AA79" s="15">
        <f t="shared" si="23"/>
        <v>11495698.782015158</v>
      </c>
      <c r="AB79" s="15">
        <f t="shared" si="23"/>
        <v>11779458.088003136</v>
      </c>
      <c r="AC79" s="15">
        <f t="shared" si="23"/>
        <v>12255348.194758466</v>
      </c>
      <c r="AD79" s="15">
        <f t="shared" si="23"/>
        <v>12255348.194758466</v>
      </c>
      <c r="AE79" s="15">
        <f t="shared" si="23"/>
        <v>12750464.261826705</v>
      </c>
      <c r="AF79" s="15">
        <f t="shared" si="23"/>
        <v>12750464.261826705</v>
      </c>
      <c r="AG79" s="15">
        <f t="shared" si="23"/>
        <v>13265583.018004503</v>
      </c>
      <c r="AH79" s="15">
        <f t="shared" si="23"/>
        <v>13265583.018004503</v>
      </c>
      <c r="AI79" s="15">
        <f t="shared" si="23"/>
        <v>13801512.571931884</v>
      </c>
      <c r="AJ79" s="15">
        <f t="shared" si="23"/>
        <v>13801512.571931884</v>
      </c>
      <c r="AK79" s="200">
        <f t="shared" si="23"/>
        <v>14359093.679837935</v>
      </c>
      <c r="AL79" s="200">
        <f t="shared" si="23"/>
        <v>14359093.679837935</v>
      </c>
      <c r="AM79" s="200">
        <f t="shared" si="23"/>
        <v>14939201.064503383</v>
      </c>
      <c r="AN79" s="200">
        <f t="shared" si="23"/>
        <v>14939201.064503383</v>
      </c>
      <c r="AO79" s="200">
        <f t="shared" si="23"/>
        <v>15542744.787509324</v>
      </c>
      <c r="AP79" s="200">
        <f t="shared" si="23"/>
        <v>15542744.787509324</v>
      </c>
      <c r="AQ79" s="200">
        <f t="shared" si="23"/>
        <v>16170671.676924698</v>
      </c>
      <c r="AR79" s="200">
        <f t="shared" si="23"/>
        <v>16170671.676924698</v>
      </c>
      <c r="AS79" s="200">
        <f t="shared" si="23"/>
        <v>16823966.812672459</v>
      </c>
      <c r="AT79" s="210">
        <f t="shared" si="23"/>
        <v>16823966.812672459</v>
      </c>
      <c r="AU79" s="44"/>
    </row>
    <row r="80" spans="1:47" x14ac:dyDescent="0.3">
      <c r="B80" s="64" t="s">
        <v>101</v>
      </c>
      <c r="C80" s="20">
        <v>0</v>
      </c>
      <c r="D80" s="20">
        <v>0</v>
      </c>
      <c r="E80" s="20">
        <v>0</v>
      </c>
      <c r="F80" s="20">
        <v>0</v>
      </c>
      <c r="G80" s="15">
        <f t="shared" si="23"/>
        <v>0</v>
      </c>
      <c r="H80" s="15">
        <f t="shared" si="23"/>
        <v>0</v>
      </c>
      <c r="I80" s="15">
        <f t="shared" si="23"/>
        <v>0</v>
      </c>
      <c r="J80" s="15">
        <f t="shared" si="23"/>
        <v>0</v>
      </c>
      <c r="K80" s="15">
        <f t="shared" si="23"/>
        <v>0</v>
      </c>
      <c r="L80" s="15">
        <f t="shared" si="23"/>
        <v>0</v>
      </c>
      <c r="M80" s="15">
        <f t="shared" si="23"/>
        <v>0</v>
      </c>
      <c r="N80" s="15">
        <f t="shared" si="23"/>
        <v>0</v>
      </c>
      <c r="O80" s="15">
        <f t="shared" si="23"/>
        <v>0</v>
      </c>
      <c r="P80" s="15">
        <f t="shared" si="23"/>
        <v>0</v>
      </c>
      <c r="Q80" s="15">
        <f t="shared" si="23"/>
        <v>0</v>
      </c>
      <c r="R80" s="15">
        <f t="shared" si="23"/>
        <v>0</v>
      </c>
      <c r="S80" s="15">
        <f t="shared" si="23"/>
        <v>0</v>
      </c>
      <c r="T80" s="15">
        <f t="shared" si="23"/>
        <v>0</v>
      </c>
      <c r="U80" s="15">
        <f t="shared" si="23"/>
        <v>0</v>
      </c>
      <c r="V80" s="15">
        <f t="shared" si="23"/>
        <v>0</v>
      </c>
      <c r="W80" s="15">
        <f t="shared" si="23"/>
        <v>0</v>
      </c>
      <c r="X80" s="15">
        <f t="shared" si="23"/>
        <v>0</v>
      </c>
      <c r="Y80" s="15">
        <f t="shared" si="23"/>
        <v>0</v>
      </c>
      <c r="Z80" s="15">
        <f t="shared" si="23"/>
        <v>0</v>
      </c>
      <c r="AA80" s="15">
        <f t="shared" si="23"/>
        <v>0</v>
      </c>
      <c r="AB80" s="15">
        <f t="shared" si="23"/>
        <v>0</v>
      </c>
      <c r="AC80" s="15">
        <f t="shared" si="23"/>
        <v>0</v>
      </c>
      <c r="AD80" s="15">
        <f t="shared" si="23"/>
        <v>0</v>
      </c>
      <c r="AE80" s="15">
        <f t="shared" si="23"/>
        <v>0</v>
      </c>
      <c r="AF80" s="15">
        <f t="shared" si="23"/>
        <v>0</v>
      </c>
      <c r="AG80" s="15">
        <f t="shared" si="23"/>
        <v>0</v>
      </c>
      <c r="AH80" s="15">
        <f t="shared" si="23"/>
        <v>0</v>
      </c>
      <c r="AI80" s="15">
        <f t="shared" si="23"/>
        <v>0</v>
      </c>
      <c r="AJ80" s="15">
        <f t="shared" si="23"/>
        <v>0</v>
      </c>
      <c r="AK80" s="200">
        <f t="shared" si="23"/>
        <v>0</v>
      </c>
      <c r="AL80" s="200">
        <f t="shared" si="23"/>
        <v>0</v>
      </c>
      <c r="AM80" s="200">
        <f t="shared" si="23"/>
        <v>0</v>
      </c>
      <c r="AN80" s="200">
        <f t="shared" si="23"/>
        <v>0</v>
      </c>
      <c r="AO80" s="200">
        <f t="shared" si="23"/>
        <v>0</v>
      </c>
      <c r="AP80" s="200">
        <f t="shared" si="23"/>
        <v>0</v>
      </c>
      <c r="AQ80" s="200">
        <f t="shared" si="23"/>
        <v>0</v>
      </c>
      <c r="AR80" s="200">
        <f t="shared" si="23"/>
        <v>0</v>
      </c>
      <c r="AS80" s="200">
        <f t="shared" si="23"/>
        <v>0</v>
      </c>
      <c r="AT80" s="210">
        <f t="shared" si="23"/>
        <v>0</v>
      </c>
      <c r="AU80" s="44"/>
    </row>
    <row r="81" spans="1:47" ht="15" thickBot="1" x14ac:dyDescent="0.35">
      <c r="A81" s="1"/>
      <c r="B81" s="65" t="s">
        <v>102</v>
      </c>
      <c r="C81" s="68">
        <v>0</v>
      </c>
      <c r="D81" s="68">
        <v>0</v>
      </c>
      <c r="E81" s="68">
        <v>0</v>
      </c>
      <c r="F81" s="68">
        <v>0</v>
      </c>
      <c r="G81" s="68">
        <f>G79+G80</f>
        <v>4041373.4748107381</v>
      </c>
      <c r="H81" s="68">
        <f t="shared" ref="H81:AT81" si="24">H79+H80</f>
        <v>5388497.9664143175</v>
      </c>
      <c r="I81" s="68">
        <f t="shared" si="24"/>
        <v>5730051.417159508</v>
      </c>
      <c r="J81" s="68">
        <f t="shared" si="24"/>
        <v>5826428.2104328489</v>
      </c>
      <c r="K81" s="68">
        <f t="shared" si="24"/>
        <v>6162086.325855921</v>
      </c>
      <c r="L81" s="68">
        <f t="shared" si="24"/>
        <v>6262356.7415775042</v>
      </c>
      <c r="M81" s="68">
        <f t="shared" si="24"/>
        <v>6619677.294453972</v>
      </c>
      <c r="N81" s="68">
        <f t="shared" si="24"/>
        <v>6722941.5665168799</v>
      </c>
      <c r="O81" s="68">
        <f t="shared" si="24"/>
        <v>7101984.5544584068</v>
      </c>
      <c r="P81" s="68">
        <f t="shared" si="24"/>
        <v>7209420.7031126535</v>
      </c>
      <c r="Q81" s="68">
        <f t="shared" si="24"/>
        <v>7612457.8685782831</v>
      </c>
      <c r="R81" s="68">
        <f t="shared" si="24"/>
        <v>7724234.437638158</v>
      </c>
      <c r="S81" s="68">
        <f t="shared" si="24"/>
        <v>8197579.7829282973</v>
      </c>
      <c r="T81" s="68">
        <f t="shared" si="24"/>
        <v>8358866.0569378566</v>
      </c>
      <c r="U81" s="68">
        <f t="shared" si="24"/>
        <v>8864366.4851176888</v>
      </c>
      <c r="V81" s="68">
        <f t="shared" si="24"/>
        <v>9032168.7245972324</v>
      </c>
      <c r="W81" s="68">
        <f t="shared" si="24"/>
        <v>9571649.7910254784</v>
      </c>
      <c r="X81" s="68">
        <f t="shared" si="24"/>
        <v>9833799.5279549267</v>
      </c>
      <c r="Y81" s="68">
        <f t="shared" si="24"/>
        <v>10503825.615185706</v>
      </c>
      <c r="Z81" s="68">
        <f t="shared" si="24"/>
        <v>10776566.201487105</v>
      </c>
      <c r="AA81" s="68">
        <f t="shared" si="24"/>
        <v>11495698.782015158</v>
      </c>
      <c r="AB81" s="68">
        <f t="shared" si="24"/>
        <v>11779458.088003136</v>
      </c>
      <c r="AC81" s="68">
        <f t="shared" si="24"/>
        <v>12255348.194758466</v>
      </c>
      <c r="AD81" s="68">
        <f t="shared" si="24"/>
        <v>12255348.194758466</v>
      </c>
      <c r="AE81" s="68">
        <f t="shared" si="24"/>
        <v>12750464.261826705</v>
      </c>
      <c r="AF81" s="68">
        <f t="shared" si="24"/>
        <v>12750464.261826705</v>
      </c>
      <c r="AG81" s="68">
        <f t="shared" si="24"/>
        <v>13265583.018004503</v>
      </c>
      <c r="AH81" s="68">
        <f t="shared" si="24"/>
        <v>13265583.018004503</v>
      </c>
      <c r="AI81" s="68">
        <f t="shared" si="24"/>
        <v>13801512.571931884</v>
      </c>
      <c r="AJ81" s="68">
        <f t="shared" si="24"/>
        <v>13801512.571931884</v>
      </c>
      <c r="AK81" s="211">
        <f t="shared" si="24"/>
        <v>14359093.679837935</v>
      </c>
      <c r="AL81" s="211">
        <f t="shared" si="24"/>
        <v>14359093.679837935</v>
      </c>
      <c r="AM81" s="211">
        <f t="shared" si="24"/>
        <v>14939201.064503383</v>
      </c>
      <c r="AN81" s="211">
        <f t="shared" si="24"/>
        <v>14939201.064503383</v>
      </c>
      <c r="AO81" s="211">
        <f t="shared" si="24"/>
        <v>15542744.787509324</v>
      </c>
      <c r="AP81" s="211">
        <f t="shared" si="24"/>
        <v>15542744.787509324</v>
      </c>
      <c r="AQ81" s="211">
        <f t="shared" si="24"/>
        <v>16170671.676924698</v>
      </c>
      <c r="AR81" s="211">
        <f t="shared" si="24"/>
        <v>16170671.676924698</v>
      </c>
      <c r="AS81" s="211">
        <f t="shared" si="24"/>
        <v>16823966.812672459</v>
      </c>
      <c r="AT81" s="212">
        <f t="shared" si="24"/>
        <v>16823966.812672459</v>
      </c>
      <c r="AU81" s="44"/>
    </row>
    <row r="82" spans="1:47" ht="15" thickBot="1" x14ac:dyDescent="0.35">
      <c r="B82" s="69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200"/>
      <c r="AL82" s="200"/>
      <c r="AM82" s="200"/>
      <c r="AN82" s="200"/>
      <c r="AO82" s="200"/>
      <c r="AP82" s="200"/>
      <c r="AQ82" s="200"/>
      <c r="AR82" s="200"/>
      <c r="AS82" s="200"/>
      <c r="AT82" s="200"/>
      <c r="AU82" s="44"/>
    </row>
    <row r="83" spans="1:47" ht="15" thickBot="1" x14ac:dyDescent="0.35">
      <c r="A83" s="74"/>
      <c r="B83" s="70" t="s">
        <v>103</v>
      </c>
      <c r="C83" s="71"/>
      <c r="D83" s="71"/>
      <c r="E83" s="71"/>
      <c r="F83" s="71"/>
      <c r="G83" s="72">
        <f>G81+G76</f>
        <v>-537851.39609510172</v>
      </c>
      <c r="H83" s="72">
        <f t="shared" ref="H83:AT83" si="25">H81+H76</f>
        <v>1723473.7136191688</v>
      </c>
      <c r="I83" s="72">
        <f t="shared" si="25"/>
        <v>919976.73631819524</v>
      </c>
      <c r="J83" s="72">
        <f t="shared" si="25"/>
        <v>903675.54672904033</v>
      </c>
      <c r="K83" s="72">
        <f t="shared" si="25"/>
        <v>-6708635.4619858367</v>
      </c>
      <c r="L83" s="72">
        <f t="shared" si="25"/>
        <v>1106048.6672808975</v>
      </c>
      <c r="M83" s="72">
        <f t="shared" si="25"/>
        <v>1342356.2183989249</v>
      </c>
      <c r="N83" s="72">
        <f t="shared" si="25"/>
        <v>1321690.7073518476</v>
      </c>
      <c r="O83" s="72">
        <f t="shared" si="25"/>
        <v>1573814.9753153035</v>
      </c>
      <c r="P83" s="72">
        <f t="shared" si="25"/>
        <v>-7054775.7830518642</v>
      </c>
      <c r="Q83" s="72">
        <f t="shared" si="25"/>
        <v>1821186.2222958002</v>
      </c>
      <c r="R83" s="72">
        <f t="shared" si="25"/>
        <v>1796625.7950624125</v>
      </c>
      <c r="S83" s="72">
        <f t="shared" si="25"/>
        <v>2130337.8102395106</v>
      </c>
      <c r="T83" s="72">
        <f t="shared" si="25"/>
        <v>2148612.630568888</v>
      </c>
      <c r="U83" s="72">
        <f t="shared" si="25"/>
        <v>-6948252.9869918358</v>
      </c>
      <c r="V83" s="72">
        <f t="shared" si="25"/>
        <v>2525420.4094527643</v>
      </c>
      <c r="W83" s="72">
        <f t="shared" si="25"/>
        <v>2911243.8459235774</v>
      </c>
      <c r="X83" s="72">
        <f t="shared" si="25"/>
        <v>3016009.3271231912</v>
      </c>
      <c r="Y83" s="72">
        <f t="shared" si="25"/>
        <v>3524831.7902153609</v>
      </c>
      <c r="Z83" s="72">
        <f t="shared" si="25"/>
        <v>-6757211.3646380864</v>
      </c>
      <c r="AA83" s="72">
        <f t="shared" si="25"/>
        <v>4182456.7482797895</v>
      </c>
      <c r="AB83" s="72">
        <f t="shared" si="25"/>
        <v>4292973.9130949778</v>
      </c>
      <c r="AC83" s="72">
        <f t="shared" si="25"/>
        <v>4591407.2689356431</v>
      </c>
      <c r="AD83" s="72">
        <f t="shared" si="25"/>
        <v>4409630.7095581545</v>
      </c>
      <c r="AE83" s="72">
        <f t="shared" si="25"/>
        <v>-6697110.1970497407</v>
      </c>
      <c r="AF83" s="72">
        <f t="shared" si="25"/>
        <v>4527799.9190476593</v>
      </c>
      <c r="AG83" s="72">
        <f t="shared" si="25"/>
        <v>4847524.2482870948</v>
      </c>
      <c r="AH83" s="72">
        <f t="shared" si="25"/>
        <v>4647361.6091608927</v>
      </c>
      <c r="AI83" s="72">
        <f t="shared" si="25"/>
        <v>4978240.9429027643</v>
      </c>
      <c r="AJ83" s="72">
        <f t="shared" si="25"/>
        <v>-7774780.0135885216</v>
      </c>
      <c r="AK83" s="213">
        <f t="shared" si="25"/>
        <v>5110566.0098448023</v>
      </c>
      <c r="AL83" s="213">
        <f t="shared" si="25"/>
        <v>4890105.8267177828</v>
      </c>
      <c r="AM83" s="213">
        <f t="shared" si="25"/>
        <v>5244356.5556605477</v>
      </c>
      <c r="AN83" s="213">
        <f t="shared" si="25"/>
        <v>5012967.9332292303</v>
      </c>
      <c r="AO83" s="213">
        <f t="shared" si="25"/>
        <v>-8402143.8961256873</v>
      </c>
      <c r="AP83" s="213">
        <f t="shared" si="25"/>
        <v>5136579.027077524</v>
      </c>
      <c r="AQ83" s="213">
        <f t="shared" si="25"/>
        <v>5515673.1369227506</v>
      </c>
      <c r="AR83" s="213">
        <f t="shared" si="25"/>
        <v>5260730.6545751859</v>
      </c>
      <c r="AS83" s="213">
        <f t="shared" si="25"/>
        <v>5652819.7551884949</v>
      </c>
      <c r="AT83" s="214">
        <f t="shared" si="25"/>
        <v>-9757360.717753958</v>
      </c>
      <c r="AU83" s="73"/>
    </row>
    <row r="84" spans="1:47" ht="15" thickBot="1" x14ac:dyDescent="0.35">
      <c r="A84" s="74"/>
      <c r="B84" s="75"/>
      <c r="C84" s="76"/>
      <c r="D84" s="76"/>
      <c r="E84" s="76"/>
      <c r="F84" s="76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73"/>
    </row>
    <row r="85" spans="1:47" x14ac:dyDescent="0.3">
      <c r="B85" s="62" t="s">
        <v>104</v>
      </c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205"/>
      <c r="AL85" s="205"/>
      <c r="AM85" s="205"/>
      <c r="AN85" s="205"/>
      <c r="AO85" s="205"/>
      <c r="AP85" s="205"/>
      <c r="AQ85" s="205"/>
      <c r="AR85" s="205"/>
      <c r="AS85" s="205"/>
      <c r="AT85" s="206"/>
      <c r="AU85" s="44"/>
    </row>
    <row r="86" spans="1:47" x14ac:dyDescent="0.3">
      <c r="B86" s="64" t="s">
        <v>105</v>
      </c>
      <c r="C86" s="20">
        <v>0</v>
      </c>
      <c r="D86" s="20">
        <v>0</v>
      </c>
      <c r="E86" s="20">
        <v>0</v>
      </c>
      <c r="F86" s="20">
        <v>0</v>
      </c>
      <c r="G86" s="15">
        <f>G83</f>
        <v>-537851.39609510172</v>
      </c>
      <c r="H86" s="15">
        <f t="shared" ref="H86:AT86" si="26">H83</f>
        <v>1723473.7136191688</v>
      </c>
      <c r="I86" s="15">
        <f t="shared" si="26"/>
        <v>919976.73631819524</v>
      </c>
      <c r="J86" s="15">
        <f t="shared" si="26"/>
        <v>903675.54672904033</v>
      </c>
      <c r="K86" s="15">
        <f t="shared" si="26"/>
        <v>-6708635.4619858367</v>
      </c>
      <c r="L86" s="15">
        <f t="shared" si="26"/>
        <v>1106048.6672808975</v>
      </c>
      <c r="M86" s="15">
        <f t="shared" si="26"/>
        <v>1342356.2183989249</v>
      </c>
      <c r="N86" s="15">
        <f t="shared" si="26"/>
        <v>1321690.7073518476</v>
      </c>
      <c r="O86" s="15">
        <f t="shared" si="26"/>
        <v>1573814.9753153035</v>
      </c>
      <c r="P86" s="15">
        <f t="shared" si="26"/>
        <v>-7054775.7830518642</v>
      </c>
      <c r="Q86" s="15">
        <f t="shared" si="26"/>
        <v>1821186.2222958002</v>
      </c>
      <c r="R86" s="15">
        <f t="shared" si="26"/>
        <v>1796625.7950624125</v>
      </c>
      <c r="S86" s="15">
        <f t="shared" si="26"/>
        <v>2130337.8102395106</v>
      </c>
      <c r="T86" s="15">
        <f t="shared" si="26"/>
        <v>2148612.630568888</v>
      </c>
      <c r="U86" s="15">
        <f t="shared" si="26"/>
        <v>-6948252.9869918358</v>
      </c>
      <c r="V86" s="15">
        <f t="shared" si="26"/>
        <v>2525420.4094527643</v>
      </c>
      <c r="W86" s="15">
        <f t="shared" si="26"/>
        <v>2911243.8459235774</v>
      </c>
      <c r="X86" s="15">
        <f t="shared" si="26"/>
        <v>3016009.3271231912</v>
      </c>
      <c r="Y86" s="15">
        <f t="shared" si="26"/>
        <v>3524831.7902153609</v>
      </c>
      <c r="Z86" s="15">
        <f t="shared" si="26"/>
        <v>-6757211.3646380864</v>
      </c>
      <c r="AA86" s="15">
        <f t="shared" si="26"/>
        <v>4182456.7482797895</v>
      </c>
      <c r="AB86" s="15">
        <f t="shared" si="26"/>
        <v>4292973.9130949778</v>
      </c>
      <c r="AC86" s="15">
        <f t="shared" si="26"/>
        <v>4591407.2689356431</v>
      </c>
      <c r="AD86" s="15">
        <f t="shared" si="26"/>
        <v>4409630.7095581545</v>
      </c>
      <c r="AE86" s="15">
        <f t="shared" si="26"/>
        <v>-6697110.1970497407</v>
      </c>
      <c r="AF86" s="15">
        <f t="shared" si="26"/>
        <v>4527799.9190476593</v>
      </c>
      <c r="AG86" s="15">
        <f t="shared" si="26"/>
        <v>4847524.2482870948</v>
      </c>
      <c r="AH86" s="15">
        <f t="shared" si="26"/>
        <v>4647361.6091608927</v>
      </c>
      <c r="AI86" s="15">
        <f t="shared" si="26"/>
        <v>4978240.9429027643</v>
      </c>
      <c r="AJ86" s="15">
        <f t="shared" si="26"/>
        <v>-7774780.0135885216</v>
      </c>
      <c r="AK86" s="200">
        <f t="shared" si="26"/>
        <v>5110566.0098448023</v>
      </c>
      <c r="AL86" s="200">
        <f t="shared" si="26"/>
        <v>4890105.8267177828</v>
      </c>
      <c r="AM86" s="200">
        <f t="shared" si="26"/>
        <v>5244356.5556605477</v>
      </c>
      <c r="AN86" s="200">
        <f t="shared" si="26"/>
        <v>5012967.9332292303</v>
      </c>
      <c r="AO86" s="200">
        <f t="shared" si="26"/>
        <v>-8402143.8961256873</v>
      </c>
      <c r="AP86" s="200">
        <f t="shared" si="26"/>
        <v>5136579.027077524</v>
      </c>
      <c r="AQ86" s="200">
        <f t="shared" si="26"/>
        <v>5515673.1369227506</v>
      </c>
      <c r="AR86" s="200">
        <f t="shared" si="26"/>
        <v>5260730.6545751859</v>
      </c>
      <c r="AS86" s="200">
        <f t="shared" si="26"/>
        <v>5652819.7551884949</v>
      </c>
      <c r="AT86" s="210">
        <f t="shared" si="26"/>
        <v>-9757360.717753958</v>
      </c>
      <c r="AU86" s="44"/>
    </row>
    <row r="87" spans="1:47" x14ac:dyDescent="0.3">
      <c r="B87" s="64" t="s">
        <v>106</v>
      </c>
      <c r="C87" s="20">
        <v>0</v>
      </c>
      <c r="D87" s="20">
        <v>0</v>
      </c>
      <c r="E87" s="20">
        <v>0</v>
      </c>
      <c r="F87" s="20">
        <v>0</v>
      </c>
      <c r="G87" s="15">
        <f>IF(G86&gt;0,-$C$23*G86,0)</f>
        <v>0</v>
      </c>
      <c r="H87" s="15">
        <f t="shared" ref="H87:AT87" si="27">IF(H86&gt;0,-$C$23*H86,0)</f>
        <v>0</v>
      </c>
      <c r="I87" s="15">
        <f t="shared" si="27"/>
        <v>0</v>
      </c>
      <c r="J87" s="15">
        <f t="shared" si="27"/>
        <v>0</v>
      </c>
      <c r="K87" s="15">
        <f t="shared" si="27"/>
        <v>0</v>
      </c>
      <c r="L87" s="15">
        <f t="shared" si="27"/>
        <v>0</v>
      </c>
      <c r="M87" s="15">
        <f t="shared" si="27"/>
        <v>0</v>
      </c>
      <c r="N87" s="15">
        <f t="shared" si="27"/>
        <v>0</v>
      </c>
      <c r="O87" s="15">
        <f t="shared" si="27"/>
        <v>0</v>
      </c>
      <c r="P87" s="15">
        <f t="shared" si="27"/>
        <v>0</v>
      </c>
      <c r="Q87" s="15">
        <f t="shared" si="27"/>
        <v>0</v>
      </c>
      <c r="R87" s="15">
        <f t="shared" si="27"/>
        <v>0</v>
      </c>
      <c r="S87" s="15">
        <f t="shared" si="27"/>
        <v>0</v>
      </c>
      <c r="T87" s="15">
        <f t="shared" si="27"/>
        <v>0</v>
      </c>
      <c r="U87" s="15">
        <f t="shared" si="27"/>
        <v>0</v>
      </c>
      <c r="V87" s="15">
        <f t="shared" si="27"/>
        <v>0</v>
      </c>
      <c r="W87" s="15">
        <f t="shared" si="27"/>
        <v>0</v>
      </c>
      <c r="X87" s="15">
        <f t="shared" si="27"/>
        <v>0</v>
      </c>
      <c r="Y87" s="15">
        <f t="shared" si="27"/>
        <v>0</v>
      </c>
      <c r="Z87" s="15">
        <f t="shared" si="27"/>
        <v>0</v>
      </c>
      <c r="AA87" s="15">
        <f t="shared" si="27"/>
        <v>0</v>
      </c>
      <c r="AB87" s="15">
        <f t="shared" si="27"/>
        <v>0</v>
      </c>
      <c r="AC87" s="15">
        <f t="shared" si="27"/>
        <v>0</v>
      </c>
      <c r="AD87" s="15">
        <f t="shared" si="27"/>
        <v>0</v>
      </c>
      <c r="AE87" s="15">
        <f t="shared" si="27"/>
        <v>0</v>
      </c>
      <c r="AF87" s="15">
        <f t="shared" si="27"/>
        <v>0</v>
      </c>
      <c r="AG87" s="15">
        <f t="shared" si="27"/>
        <v>0</v>
      </c>
      <c r="AH87" s="15">
        <f t="shared" si="27"/>
        <v>0</v>
      </c>
      <c r="AI87" s="15">
        <f t="shared" si="27"/>
        <v>0</v>
      </c>
      <c r="AJ87" s="15">
        <f t="shared" si="27"/>
        <v>0</v>
      </c>
      <c r="AK87" s="200">
        <f t="shared" si="27"/>
        <v>0</v>
      </c>
      <c r="AL87" s="200">
        <f t="shared" si="27"/>
        <v>0</v>
      </c>
      <c r="AM87" s="200">
        <f t="shared" si="27"/>
        <v>0</v>
      </c>
      <c r="AN87" s="200">
        <f t="shared" si="27"/>
        <v>0</v>
      </c>
      <c r="AO87" s="200">
        <f t="shared" si="27"/>
        <v>0</v>
      </c>
      <c r="AP87" s="200">
        <f t="shared" si="27"/>
        <v>0</v>
      </c>
      <c r="AQ87" s="200">
        <f t="shared" si="27"/>
        <v>0</v>
      </c>
      <c r="AR87" s="200">
        <f t="shared" si="27"/>
        <v>0</v>
      </c>
      <c r="AS87" s="200">
        <f t="shared" si="27"/>
        <v>0</v>
      </c>
      <c r="AT87" s="210">
        <f t="shared" si="27"/>
        <v>0</v>
      </c>
      <c r="AU87" s="44"/>
    </row>
    <row r="88" spans="1:47" x14ac:dyDescent="0.3">
      <c r="B88" s="77" t="s">
        <v>107</v>
      </c>
      <c r="C88" s="78">
        <v>0</v>
      </c>
      <c r="D88" s="78">
        <v>0</v>
      </c>
      <c r="E88" s="78">
        <v>0</v>
      </c>
      <c r="F88" s="78">
        <v>0</v>
      </c>
      <c r="G88" s="79">
        <f>G70</f>
        <v>-4840719.8171959259</v>
      </c>
      <c r="H88" s="79">
        <f t="shared" ref="H88:AT88" si="28">H70</f>
        <v>-4840719.8171959259</v>
      </c>
      <c r="I88" s="79">
        <f t="shared" si="28"/>
        <v>-4840719.8171959259</v>
      </c>
      <c r="J88" s="79">
        <f t="shared" si="28"/>
        <v>-4840719.8171959259</v>
      </c>
      <c r="K88" s="79">
        <f t="shared" si="28"/>
        <v>-4840719.8171959259</v>
      </c>
      <c r="L88" s="79">
        <f t="shared" si="28"/>
        <v>-4555278.1761688255</v>
      </c>
      <c r="M88" s="79">
        <f t="shared" si="28"/>
        <v>-4555278.1761688255</v>
      </c>
      <c r="N88" s="79">
        <f t="shared" si="28"/>
        <v>-4555278.1761688255</v>
      </c>
      <c r="O88" s="79">
        <f t="shared" si="28"/>
        <v>-4555278.1761688255</v>
      </c>
      <c r="P88" s="79">
        <f t="shared" si="28"/>
        <v>-4555278.1761688255</v>
      </c>
      <c r="Q88" s="79">
        <f t="shared" si="28"/>
        <v>-3951801.1796658039</v>
      </c>
      <c r="R88" s="79">
        <f t="shared" si="28"/>
        <v>-4582926.3464570502</v>
      </c>
      <c r="S88" s="79">
        <f t="shared" si="28"/>
        <v>-4582926.3464570502</v>
      </c>
      <c r="T88" s="79">
        <f t="shared" si="28"/>
        <v>-4582926.3464570502</v>
      </c>
      <c r="U88" s="79">
        <f t="shared" si="28"/>
        <v>-4582926.3464570502</v>
      </c>
      <c r="V88" s="79">
        <f t="shared" si="28"/>
        <v>-3539369.5456139245</v>
      </c>
      <c r="W88" s="79">
        <f t="shared" si="28"/>
        <v>-3539369.5456139245</v>
      </c>
      <c r="X88" s="79">
        <f t="shared" si="28"/>
        <v>-4724432.4753647726</v>
      </c>
      <c r="Y88" s="79">
        <f t="shared" si="28"/>
        <v>-4724432.4753647726</v>
      </c>
      <c r="Z88" s="79">
        <f t="shared" si="28"/>
        <v>-4724432.4753647726</v>
      </c>
      <c r="AA88" s="79">
        <f t="shared" si="28"/>
        <v>-4724432.4753647726</v>
      </c>
      <c r="AB88" s="79">
        <f t="shared" si="28"/>
        <v>-4724432.4753647726</v>
      </c>
      <c r="AC88" s="79">
        <f t="shared" si="28"/>
        <v>-4876455.1936307717</v>
      </c>
      <c r="AD88" s="79">
        <f t="shared" si="28"/>
        <v>-4876455.1936307717</v>
      </c>
      <c r="AE88" s="79">
        <f t="shared" si="28"/>
        <v>-4876455.1936307717</v>
      </c>
      <c r="AF88" s="79">
        <f t="shared" si="28"/>
        <v>-4876455.1936307717</v>
      </c>
      <c r="AG88" s="79">
        <f t="shared" si="28"/>
        <v>-4876455.1936307717</v>
      </c>
      <c r="AH88" s="79">
        <f t="shared" si="28"/>
        <v>-4876455.1936307717</v>
      </c>
      <c r="AI88" s="79">
        <f t="shared" si="28"/>
        <v>-4876455.1936307717</v>
      </c>
      <c r="AJ88" s="79">
        <f t="shared" si="28"/>
        <v>-4876455.1936307717</v>
      </c>
      <c r="AK88" s="200">
        <f t="shared" si="28"/>
        <v>-4876455.1936307717</v>
      </c>
      <c r="AL88" s="200">
        <f t="shared" si="28"/>
        <v>-4876455.1936307717</v>
      </c>
      <c r="AM88" s="200">
        <f t="shared" si="28"/>
        <v>-3691392.2638799241</v>
      </c>
      <c r="AN88" s="200">
        <f t="shared" si="28"/>
        <v>-2908244.3788226782</v>
      </c>
      <c r="AO88" s="200">
        <f t="shared" si="28"/>
        <v>-5342868.7463408327</v>
      </c>
      <c r="AP88" s="200">
        <f t="shared" si="28"/>
        <v>-5342868.7463408327</v>
      </c>
      <c r="AQ88" s="200">
        <f t="shared" si="28"/>
        <v>-5342868.7463408327</v>
      </c>
      <c r="AR88" s="200">
        <f t="shared" si="28"/>
        <v>-5342868.7463408327</v>
      </c>
      <c r="AS88" s="200">
        <f t="shared" si="28"/>
        <v>-5342868.7463408327</v>
      </c>
      <c r="AT88" s="210">
        <f t="shared" si="28"/>
        <v>-5342868.7463408327</v>
      </c>
      <c r="AU88" s="44"/>
    </row>
    <row r="89" spans="1:47" x14ac:dyDescent="0.3">
      <c r="B89" s="64" t="s">
        <v>108</v>
      </c>
      <c r="C89" s="20">
        <v>0</v>
      </c>
      <c r="D89" s="20">
        <v>0</v>
      </c>
      <c r="E89" s="20">
        <v>0</v>
      </c>
      <c r="F89" s="20">
        <v>0</v>
      </c>
      <c r="G89" s="15">
        <f t="shared" ref="G89:AT89" si="29">G86+G87+G88</f>
        <v>-5378571.2132910276</v>
      </c>
      <c r="H89" s="15">
        <f t="shared" si="29"/>
        <v>-3117246.103576757</v>
      </c>
      <c r="I89" s="15">
        <f t="shared" si="29"/>
        <v>-3920743.0808777306</v>
      </c>
      <c r="J89" s="15">
        <f t="shared" si="29"/>
        <v>-3937044.2704668855</v>
      </c>
      <c r="K89" s="15">
        <f t="shared" si="29"/>
        <v>-11549355.279181764</v>
      </c>
      <c r="L89" s="15">
        <f t="shared" si="29"/>
        <v>-3449229.508887928</v>
      </c>
      <c r="M89" s="15">
        <f t="shared" si="29"/>
        <v>-3212921.9577699006</v>
      </c>
      <c r="N89" s="15">
        <f t="shared" si="29"/>
        <v>-3233587.4688169779</v>
      </c>
      <c r="O89" s="15">
        <f t="shared" si="29"/>
        <v>-2981463.2008535219</v>
      </c>
      <c r="P89" s="15">
        <f t="shared" si="29"/>
        <v>-11610053.959220689</v>
      </c>
      <c r="Q89" s="15">
        <f t="shared" si="29"/>
        <v>-2130614.9573700037</v>
      </c>
      <c r="R89" s="15">
        <f t="shared" si="29"/>
        <v>-2786300.5513946377</v>
      </c>
      <c r="S89" s="15">
        <f t="shared" si="29"/>
        <v>-2452588.5362175396</v>
      </c>
      <c r="T89" s="15">
        <f t="shared" si="29"/>
        <v>-2434313.7158881621</v>
      </c>
      <c r="U89" s="15">
        <f t="shared" si="29"/>
        <v>-11531179.333448887</v>
      </c>
      <c r="V89" s="15">
        <f t="shared" si="29"/>
        <v>-1013949.1361611602</v>
      </c>
      <c r="W89" s="15">
        <f t="shared" si="29"/>
        <v>-628125.69969034707</v>
      </c>
      <c r="X89" s="15">
        <f t="shared" si="29"/>
        <v>-1708423.1482415814</v>
      </c>
      <c r="Y89" s="15">
        <f t="shared" si="29"/>
        <v>-1199600.6851494117</v>
      </c>
      <c r="Z89" s="15">
        <f t="shared" si="29"/>
        <v>-11481643.840002859</v>
      </c>
      <c r="AA89" s="15">
        <f t="shared" si="29"/>
        <v>-541975.72708498314</v>
      </c>
      <c r="AB89" s="15">
        <f t="shared" si="29"/>
        <v>-431458.56226979475</v>
      </c>
      <c r="AC89" s="15">
        <f t="shared" si="29"/>
        <v>-285047.92469512857</v>
      </c>
      <c r="AD89" s="15">
        <f t="shared" si="29"/>
        <v>-466824.48407261726</v>
      </c>
      <c r="AE89" s="15">
        <f t="shared" si="29"/>
        <v>-11573565.390680512</v>
      </c>
      <c r="AF89" s="15">
        <f t="shared" si="29"/>
        <v>-348655.27458311245</v>
      </c>
      <c r="AG89" s="15">
        <f t="shared" si="29"/>
        <v>-28930.945343676955</v>
      </c>
      <c r="AH89" s="15">
        <f t="shared" si="29"/>
        <v>-229093.58446987905</v>
      </c>
      <c r="AI89" s="15">
        <f t="shared" si="29"/>
        <v>101785.74927199259</v>
      </c>
      <c r="AJ89" s="15">
        <f t="shared" si="29"/>
        <v>-12651235.207219293</v>
      </c>
      <c r="AK89" s="200">
        <f t="shared" si="29"/>
        <v>234110.81621403061</v>
      </c>
      <c r="AL89" s="200">
        <f t="shared" si="29"/>
        <v>13650.633087011054</v>
      </c>
      <c r="AM89" s="200">
        <f t="shared" si="29"/>
        <v>1552964.2917806236</v>
      </c>
      <c r="AN89" s="200">
        <f t="shared" si="29"/>
        <v>2104723.5544065521</v>
      </c>
      <c r="AO89" s="200">
        <f t="shared" si="29"/>
        <v>-13745012.642466519</v>
      </c>
      <c r="AP89" s="200">
        <f t="shared" si="29"/>
        <v>-206289.71926330868</v>
      </c>
      <c r="AQ89" s="200">
        <f t="shared" si="29"/>
        <v>172804.39058191795</v>
      </c>
      <c r="AR89" s="200">
        <f t="shared" si="29"/>
        <v>-82138.091765646823</v>
      </c>
      <c r="AS89" s="200">
        <f t="shared" si="29"/>
        <v>309951.00884766225</v>
      </c>
      <c r="AT89" s="210">
        <f t="shared" si="29"/>
        <v>-15100229.464094792</v>
      </c>
      <c r="AU89" s="44"/>
    </row>
    <row r="90" spans="1:47" x14ac:dyDescent="0.3">
      <c r="B90" s="64" t="s">
        <v>109</v>
      </c>
      <c r="C90" s="20">
        <v>0</v>
      </c>
      <c r="D90" s="20">
        <v>0</v>
      </c>
      <c r="E90" s="20">
        <v>0</v>
      </c>
      <c r="F90" s="20">
        <v>0</v>
      </c>
      <c r="G90" s="15">
        <f>IF(G89&gt;0,-$C$24*G89,0)</f>
        <v>0</v>
      </c>
      <c r="H90" s="15">
        <f t="shared" ref="H90:AT90" si="30">IF(H89&gt;0,-$C$24*H89,0)</f>
        <v>0</v>
      </c>
      <c r="I90" s="15">
        <f t="shared" si="30"/>
        <v>0</v>
      </c>
      <c r="J90" s="15">
        <f t="shared" si="30"/>
        <v>0</v>
      </c>
      <c r="K90" s="15">
        <f t="shared" si="30"/>
        <v>0</v>
      </c>
      <c r="L90" s="15">
        <f t="shared" si="30"/>
        <v>0</v>
      </c>
      <c r="M90" s="15">
        <f t="shared" si="30"/>
        <v>0</v>
      </c>
      <c r="N90" s="15">
        <f t="shared" si="30"/>
        <v>0</v>
      </c>
      <c r="O90" s="15">
        <f t="shared" si="30"/>
        <v>0</v>
      </c>
      <c r="P90" s="15">
        <f t="shared" si="30"/>
        <v>0</v>
      </c>
      <c r="Q90" s="15">
        <f t="shared" si="30"/>
        <v>0</v>
      </c>
      <c r="R90" s="15">
        <f t="shared" si="30"/>
        <v>0</v>
      </c>
      <c r="S90" s="15">
        <f t="shared" si="30"/>
        <v>0</v>
      </c>
      <c r="T90" s="15">
        <f t="shared" si="30"/>
        <v>0</v>
      </c>
      <c r="U90" s="15">
        <f t="shared" si="30"/>
        <v>0</v>
      </c>
      <c r="V90" s="15">
        <f t="shared" si="30"/>
        <v>0</v>
      </c>
      <c r="W90" s="15">
        <f t="shared" si="30"/>
        <v>0</v>
      </c>
      <c r="X90" s="15">
        <f t="shared" si="30"/>
        <v>0</v>
      </c>
      <c r="Y90" s="15">
        <f t="shared" si="30"/>
        <v>0</v>
      </c>
      <c r="Z90" s="15">
        <f t="shared" si="30"/>
        <v>0</v>
      </c>
      <c r="AA90" s="15">
        <f t="shared" si="30"/>
        <v>0</v>
      </c>
      <c r="AB90" s="15">
        <f t="shared" si="30"/>
        <v>0</v>
      </c>
      <c r="AC90" s="15">
        <f t="shared" si="30"/>
        <v>0</v>
      </c>
      <c r="AD90" s="15">
        <f t="shared" si="30"/>
        <v>0</v>
      </c>
      <c r="AE90" s="15">
        <f t="shared" si="30"/>
        <v>0</v>
      </c>
      <c r="AF90" s="15">
        <f t="shared" si="30"/>
        <v>0</v>
      </c>
      <c r="AG90" s="15">
        <f t="shared" si="30"/>
        <v>0</v>
      </c>
      <c r="AH90" s="15">
        <f t="shared" si="30"/>
        <v>0</v>
      </c>
      <c r="AI90" s="15">
        <f t="shared" si="30"/>
        <v>-35625.012245197402</v>
      </c>
      <c r="AJ90" s="15">
        <f t="shared" si="30"/>
        <v>0</v>
      </c>
      <c r="AK90" s="200">
        <f t="shared" si="30"/>
        <v>-81938.785674910701</v>
      </c>
      <c r="AL90" s="200">
        <f t="shared" si="30"/>
        <v>-4777.7215804538682</v>
      </c>
      <c r="AM90" s="200">
        <f t="shared" si="30"/>
        <v>-543537.50212321826</v>
      </c>
      <c r="AN90" s="200">
        <f t="shared" si="30"/>
        <v>-736653.24404229317</v>
      </c>
      <c r="AO90" s="200">
        <f t="shared" si="30"/>
        <v>0</v>
      </c>
      <c r="AP90" s="200">
        <f t="shared" si="30"/>
        <v>0</v>
      </c>
      <c r="AQ90" s="200">
        <f t="shared" si="30"/>
        <v>-60481.536703671278</v>
      </c>
      <c r="AR90" s="200">
        <f t="shared" si="30"/>
        <v>0</v>
      </c>
      <c r="AS90" s="200">
        <f t="shared" si="30"/>
        <v>-108482.85309668178</v>
      </c>
      <c r="AT90" s="210">
        <f t="shared" si="30"/>
        <v>0</v>
      </c>
      <c r="AU90" s="44"/>
    </row>
    <row r="91" spans="1:47" x14ac:dyDescent="0.3">
      <c r="B91" s="80" t="s">
        <v>110</v>
      </c>
      <c r="C91" s="76">
        <v>0</v>
      </c>
      <c r="D91" s="76">
        <v>0</v>
      </c>
      <c r="E91" s="76">
        <v>0</v>
      </c>
      <c r="F91" s="76">
        <v>0</v>
      </c>
      <c r="G91" s="81">
        <f>G89+G90</f>
        <v>-5378571.2132910276</v>
      </c>
      <c r="H91" s="81">
        <f t="shared" ref="H91:AT91" si="31">H89+H90</f>
        <v>-3117246.103576757</v>
      </c>
      <c r="I91" s="81">
        <f t="shared" si="31"/>
        <v>-3920743.0808777306</v>
      </c>
      <c r="J91" s="81">
        <f t="shared" si="31"/>
        <v>-3937044.2704668855</v>
      </c>
      <c r="K91" s="81">
        <f t="shared" si="31"/>
        <v>-11549355.279181764</v>
      </c>
      <c r="L91" s="81">
        <f t="shared" si="31"/>
        <v>-3449229.508887928</v>
      </c>
      <c r="M91" s="81">
        <f t="shared" si="31"/>
        <v>-3212921.9577699006</v>
      </c>
      <c r="N91" s="81">
        <f t="shared" si="31"/>
        <v>-3233587.4688169779</v>
      </c>
      <c r="O91" s="81">
        <f t="shared" si="31"/>
        <v>-2981463.2008535219</v>
      </c>
      <c r="P91" s="81">
        <f t="shared" si="31"/>
        <v>-11610053.959220689</v>
      </c>
      <c r="Q91" s="81">
        <f t="shared" si="31"/>
        <v>-2130614.9573700037</v>
      </c>
      <c r="R91" s="81">
        <f t="shared" si="31"/>
        <v>-2786300.5513946377</v>
      </c>
      <c r="S91" s="81">
        <f t="shared" si="31"/>
        <v>-2452588.5362175396</v>
      </c>
      <c r="T91" s="81">
        <f t="shared" si="31"/>
        <v>-2434313.7158881621</v>
      </c>
      <c r="U91" s="81">
        <f t="shared" si="31"/>
        <v>-11531179.333448887</v>
      </c>
      <c r="V91" s="81">
        <f t="shared" si="31"/>
        <v>-1013949.1361611602</v>
      </c>
      <c r="W91" s="81">
        <f t="shared" si="31"/>
        <v>-628125.69969034707</v>
      </c>
      <c r="X91" s="81">
        <f t="shared" si="31"/>
        <v>-1708423.1482415814</v>
      </c>
      <c r="Y91" s="81">
        <f t="shared" si="31"/>
        <v>-1199600.6851494117</v>
      </c>
      <c r="Z91" s="81">
        <f t="shared" si="31"/>
        <v>-11481643.840002859</v>
      </c>
      <c r="AA91" s="81">
        <f t="shared" si="31"/>
        <v>-541975.72708498314</v>
      </c>
      <c r="AB91" s="81">
        <f t="shared" si="31"/>
        <v>-431458.56226979475</v>
      </c>
      <c r="AC91" s="81">
        <f t="shared" si="31"/>
        <v>-285047.92469512857</v>
      </c>
      <c r="AD91" s="81">
        <f t="shared" si="31"/>
        <v>-466824.48407261726</v>
      </c>
      <c r="AE91" s="81">
        <f t="shared" si="31"/>
        <v>-11573565.390680512</v>
      </c>
      <c r="AF91" s="81">
        <f t="shared" si="31"/>
        <v>-348655.27458311245</v>
      </c>
      <c r="AG91" s="81">
        <f t="shared" si="31"/>
        <v>-28930.945343676955</v>
      </c>
      <c r="AH91" s="81">
        <f t="shared" si="31"/>
        <v>-229093.58446987905</v>
      </c>
      <c r="AI91" s="81">
        <f t="shared" si="31"/>
        <v>66160.737026795192</v>
      </c>
      <c r="AJ91" s="81">
        <f t="shared" si="31"/>
        <v>-12651235.207219293</v>
      </c>
      <c r="AK91" s="215">
        <f t="shared" si="31"/>
        <v>152172.03053911991</v>
      </c>
      <c r="AL91" s="215">
        <f t="shared" si="31"/>
        <v>8872.9115065571859</v>
      </c>
      <c r="AM91" s="215">
        <f t="shared" si="31"/>
        <v>1009426.7896574053</v>
      </c>
      <c r="AN91" s="215">
        <f t="shared" si="31"/>
        <v>1368070.3103642589</v>
      </c>
      <c r="AO91" s="215">
        <f t="shared" si="31"/>
        <v>-13745012.642466519</v>
      </c>
      <c r="AP91" s="215">
        <f t="shared" si="31"/>
        <v>-206289.71926330868</v>
      </c>
      <c r="AQ91" s="215">
        <f t="shared" si="31"/>
        <v>112322.85387824668</v>
      </c>
      <c r="AR91" s="215">
        <f t="shared" si="31"/>
        <v>-82138.091765646823</v>
      </c>
      <c r="AS91" s="215">
        <f t="shared" si="31"/>
        <v>201468.15575098048</v>
      </c>
      <c r="AT91" s="216">
        <f t="shared" si="31"/>
        <v>-15100229.464094792</v>
      </c>
      <c r="AU91" s="44"/>
    </row>
    <row r="92" spans="1:47" x14ac:dyDescent="0.3">
      <c r="B92" s="64" t="s">
        <v>111</v>
      </c>
      <c r="C92" s="20">
        <v>0</v>
      </c>
      <c r="D92" s="20">
        <v>0</v>
      </c>
      <c r="E92" s="20">
        <v>0</v>
      </c>
      <c r="F92" s="20">
        <v>0</v>
      </c>
      <c r="G92" s="15">
        <f>-G88</f>
        <v>4840719.8171959259</v>
      </c>
      <c r="H92" s="15">
        <f t="shared" ref="H92:AT92" si="32">-H88</f>
        <v>4840719.8171959259</v>
      </c>
      <c r="I92" s="15">
        <f t="shared" si="32"/>
        <v>4840719.8171959259</v>
      </c>
      <c r="J92" s="15">
        <f t="shared" si="32"/>
        <v>4840719.8171959259</v>
      </c>
      <c r="K92" s="15">
        <f t="shared" si="32"/>
        <v>4840719.8171959259</v>
      </c>
      <c r="L92" s="15">
        <f t="shared" si="32"/>
        <v>4555278.1761688255</v>
      </c>
      <c r="M92" s="15">
        <f t="shared" si="32"/>
        <v>4555278.1761688255</v>
      </c>
      <c r="N92" s="15">
        <f t="shared" si="32"/>
        <v>4555278.1761688255</v>
      </c>
      <c r="O92" s="15">
        <f t="shared" si="32"/>
        <v>4555278.1761688255</v>
      </c>
      <c r="P92" s="15">
        <f t="shared" si="32"/>
        <v>4555278.1761688255</v>
      </c>
      <c r="Q92" s="15">
        <f t="shared" si="32"/>
        <v>3951801.1796658039</v>
      </c>
      <c r="R92" s="15">
        <f t="shared" si="32"/>
        <v>4582926.3464570502</v>
      </c>
      <c r="S92" s="15">
        <f t="shared" si="32"/>
        <v>4582926.3464570502</v>
      </c>
      <c r="T92" s="15">
        <f t="shared" si="32"/>
        <v>4582926.3464570502</v>
      </c>
      <c r="U92" s="15">
        <f t="shared" si="32"/>
        <v>4582926.3464570502</v>
      </c>
      <c r="V92" s="15">
        <f t="shared" si="32"/>
        <v>3539369.5456139245</v>
      </c>
      <c r="W92" s="15">
        <f t="shared" si="32"/>
        <v>3539369.5456139245</v>
      </c>
      <c r="X92" s="15">
        <f t="shared" si="32"/>
        <v>4724432.4753647726</v>
      </c>
      <c r="Y92" s="15">
        <f t="shared" si="32"/>
        <v>4724432.4753647726</v>
      </c>
      <c r="Z92" s="15">
        <f t="shared" si="32"/>
        <v>4724432.4753647726</v>
      </c>
      <c r="AA92" s="15">
        <f t="shared" si="32"/>
        <v>4724432.4753647726</v>
      </c>
      <c r="AB92" s="15">
        <f t="shared" si="32"/>
        <v>4724432.4753647726</v>
      </c>
      <c r="AC92" s="15">
        <f t="shared" si="32"/>
        <v>4876455.1936307717</v>
      </c>
      <c r="AD92" s="15">
        <f t="shared" si="32"/>
        <v>4876455.1936307717</v>
      </c>
      <c r="AE92" s="15">
        <f t="shared" si="32"/>
        <v>4876455.1936307717</v>
      </c>
      <c r="AF92" s="15">
        <f t="shared" si="32"/>
        <v>4876455.1936307717</v>
      </c>
      <c r="AG92" s="15">
        <f t="shared" si="32"/>
        <v>4876455.1936307717</v>
      </c>
      <c r="AH92" s="15">
        <f t="shared" si="32"/>
        <v>4876455.1936307717</v>
      </c>
      <c r="AI92" s="15">
        <f t="shared" si="32"/>
        <v>4876455.1936307717</v>
      </c>
      <c r="AJ92" s="15">
        <f t="shared" si="32"/>
        <v>4876455.1936307717</v>
      </c>
      <c r="AK92" s="200">
        <f t="shared" si="32"/>
        <v>4876455.1936307717</v>
      </c>
      <c r="AL92" s="200">
        <f t="shared" si="32"/>
        <v>4876455.1936307717</v>
      </c>
      <c r="AM92" s="200">
        <f t="shared" si="32"/>
        <v>3691392.2638799241</v>
      </c>
      <c r="AN92" s="200">
        <f t="shared" si="32"/>
        <v>2908244.3788226782</v>
      </c>
      <c r="AO92" s="200">
        <f t="shared" si="32"/>
        <v>5342868.7463408327</v>
      </c>
      <c r="AP92" s="200">
        <f t="shared" si="32"/>
        <v>5342868.7463408327</v>
      </c>
      <c r="AQ92" s="200">
        <f t="shared" si="32"/>
        <v>5342868.7463408327</v>
      </c>
      <c r="AR92" s="200">
        <f t="shared" si="32"/>
        <v>5342868.7463408327</v>
      </c>
      <c r="AS92" s="200">
        <f t="shared" si="32"/>
        <v>5342868.7463408327</v>
      </c>
      <c r="AT92" s="210">
        <f t="shared" si="32"/>
        <v>5342868.7463408327</v>
      </c>
      <c r="AU92" s="44"/>
    </row>
    <row r="93" spans="1:47" ht="15" thickBot="1" x14ac:dyDescent="0.35">
      <c r="A93" s="84"/>
      <c r="B93" s="65" t="s">
        <v>112</v>
      </c>
      <c r="C93" s="82"/>
      <c r="D93" s="82"/>
      <c r="E93" s="82"/>
      <c r="F93" s="82"/>
      <c r="G93" s="82">
        <f>G91+G92</f>
        <v>-537851.39609510172</v>
      </c>
      <c r="H93" s="82">
        <f t="shared" ref="H93:AT93" si="33">H91+H92</f>
        <v>1723473.7136191688</v>
      </c>
      <c r="I93" s="82">
        <f t="shared" si="33"/>
        <v>919976.73631819524</v>
      </c>
      <c r="J93" s="82">
        <f t="shared" si="33"/>
        <v>903675.54672904033</v>
      </c>
      <c r="K93" s="82">
        <f t="shared" si="33"/>
        <v>-6708635.4619858377</v>
      </c>
      <c r="L93" s="82">
        <f t="shared" si="33"/>
        <v>1106048.6672808975</v>
      </c>
      <c r="M93" s="82">
        <f t="shared" si="33"/>
        <v>1342356.2183989249</v>
      </c>
      <c r="N93" s="82">
        <f t="shared" si="33"/>
        <v>1321690.7073518476</v>
      </c>
      <c r="O93" s="82">
        <f t="shared" si="33"/>
        <v>1573814.9753153035</v>
      </c>
      <c r="P93" s="82">
        <f t="shared" si="33"/>
        <v>-7054775.7830518633</v>
      </c>
      <c r="Q93" s="82">
        <f t="shared" si="33"/>
        <v>1821186.2222958002</v>
      </c>
      <c r="R93" s="82">
        <f t="shared" si="33"/>
        <v>1796625.7950624125</v>
      </c>
      <c r="S93" s="82">
        <f t="shared" si="33"/>
        <v>2130337.8102395106</v>
      </c>
      <c r="T93" s="82">
        <f t="shared" si="33"/>
        <v>2148612.630568888</v>
      </c>
      <c r="U93" s="82">
        <f t="shared" si="33"/>
        <v>-6948252.9869918367</v>
      </c>
      <c r="V93" s="82">
        <f t="shared" si="33"/>
        <v>2525420.4094527643</v>
      </c>
      <c r="W93" s="82">
        <f t="shared" si="33"/>
        <v>2911243.8459235774</v>
      </c>
      <c r="X93" s="82">
        <f t="shared" si="33"/>
        <v>3016009.3271231912</v>
      </c>
      <c r="Y93" s="82">
        <f t="shared" si="33"/>
        <v>3524831.7902153609</v>
      </c>
      <c r="Z93" s="82">
        <f t="shared" si="33"/>
        <v>-6757211.3646380864</v>
      </c>
      <c r="AA93" s="82">
        <f t="shared" si="33"/>
        <v>4182456.7482797895</v>
      </c>
      <c r="AB93" s="82">
        <f t="shared" si="33"/>
        <v>4292973.9130949778</v>
      </c>
      <c r="AC93" s="82">
        <f t="shared" si="33"/>
        <v>4591407.2689356431</v>
      </c>
      <c r="AD93" s="82">
        <f t="shared" si="33"/>
        <v>4409630.7095581545</v>
      </c>
      <c r="AE93" s="82">
        <f t="shared" si="33"/>
        <v>-6697110.1970497407</v>
      </c>
      <c r="AF93" s="82">
        <f t="shared" si="33"/>
        <v>4527799.9190476593</v>
      </c>
      <c r="AG93" s="82">
        <f t="shared" si="33"/>
        <v>4847524.2482870948</v>
      </c>
      <c r="AH93" s="82">
        <f t="shared" si="33"/>
        <v>4647361.6091608927</v>
      </c>
      <c r="AI93" s="82">
        <f t="shared" si="33"/>
        <v>4942615.9306575665</v>
      </c>
      <c r="AJ93" s="82">
        <f t="shared" si="33"/>
        <v>-7774780.0135885216</v>
      </c>
      <c r="AK93" s="208">
        <f t="shared" si="33"/>
        <v>5028627.2241698913</v>
      </c>
      <c r="AL93" s="208">
        <f t="shared" si="33"/>
        <v>4885328.1051373286</v>
      </c>
      <c r="AM93" s="208">
        <f t="shared" si="33"/>
        <v>4700819.0535373297</v>
      </c>
      <c r="AN93" s="208">
        <f t="shared" si="33"/>
        <v>4276314.6891869372</v>
      </c>
      <c r="AO93" s="208">
        <f t="shared" si="33"/>
        <v>-8402143.8961256854</v>
      </c>
      <c r="AP93" s="208">
        <f t="shared" si="33"/>
        <v>5136579.027077524</v>
      </c>
      <c r="AQ93" s="208">
        <f t="shared" si="33"/>
        <v>5455191.6002190793</v>
      </c>
      <c r="AR93" s="208">
        <f t="shared" si="33"/>
        <v>5260730.6545751859</v>
      </c>
      <c r="AS93" s="208">
        <f t="shared" si="33"/>
        <v>5544336.9020918133</v>
      </c>
      <c r="AT93" s="209">
        <f t="shared" si="33"/>
        <v>-9757360.717753958</v>
      </c>
      <c r="AU93" s="83"/>
    </row>
    <row r="94" spans="1:47" ht="15" thickBot="1" x14ac:dyDescent="0.35">
      <c r="A94" s="83"/>
      <c r="B94" s="7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85"/>
      <c r="AC94" s="85"/>
      <c r="AD94" s="85"/>
      <c r="AE94" s="85"/>
      <c r="AF94" s="85"/>
      <c r="AG94" s="85"/>
      <c r="AH94" s="85"/>
      <c r="AI94" s="85"/>
      <c r="AJ94" s="85"/>
      <c r="AK94" s="202"/>
      <c r="AL94" s="202"/>
      <c r="AM94" s="202"/>
      <c r="AN94" s="202"/>
      <c r="AO94" s="202"/>
      <c r="AP94" s="202"/>
      <c r="AQ94" s="202"/>
      <c r="AR94" s="202"/>
      <c r="AS94" s="202"/>
      <c r="AT94" s="202"/>
      <c r="AU94" s="83"/>
    </row>
    <row r="95" spans="1:47" x14ac:dyDescent="0.3">
      <c r="B95" s="62" t="s">
        <v>113</v>
      </c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205"/>
      <c r="AL95" s="205"/>
      <c r="AM95" s="205"/>
      <c r="AN95" s="205"/>
      <c r="AO95" s="205"/>
      <c r="AP95" s="205"/>
      <c r="AQ95" s="205"/>
      <c r="AR95" s="205"/>
      <c r="AS95" s="205"/>
      <c r="AT95" s="206"/>
      <c r="AU95" s="44"/>
    </row>
    <row r="96" spans="1:47" x14ac:dyDescent="0.3">
      <c r="B96" s="64" t="s">
        <v>114</v>
      </c>
      <c r="C96" s="462">
        <v>-8360014.1385935172</v>
      </c>
      <c r="D96" s="462">
        <v>-34483054.24129875</v>
      </c>
      <c r="E96" s="462">
        <v>-90904330.469175875</v>
      </c>
      <c r="F96" s="462">
        <v>-36263698.223177493</v>
      </c>
      <c r="G96" s="464"/>
      <c r="H96" s="464"/>
      <c r="I96" s="464"/>
      <c r="J96" s="464"/>
      <c r="K96" s="464"/>
      <c r="L96" s="464"/>
      <c r="M96" s="464"/>
      <c r="N96" s="464"/>
      <c r="O96" s="464"/>
      <c r="P96" s="464"/>
      <c r="Q96" s="464"/>
      <c r="R96" s="464"/>
      <c r="S96" s="464"/>
      <c r="T96" s="464"/>
      <c r="U96" s="464"/>
      <c r="V96" s="464"/>
      <c r="W96" s="464"/>
      <c r="X96" s="464"/>
      <c r="Y96" s="464"/>
      <c r="Z96" s="464"/>
      <c r="AA96" s="464"/>
      <c r="AB96" s="464"/>
      <c r="AC96" s="464"/>
      <c r="AD96" s="464"/>
      <c r="AE96" s="464"/>
      <c r="AF96" s="464"/>
      <c r="AG96" s="464"/>
      <c r="AH96" s="464"/>
      <c r="AI96" s="464"/>
      <c r="AJ96" s="464"/>
      <c r="AK96" s="465"/>
      <c r="AL96" s="465"/>
      <c r="AM96" s="465"/>
      <c r="AN96" s="465"/>
      <c r="AO96" s="466"/>
      <c r="AP96" s="466"/>
      <c r="AQ96" s="466"/>
      <c r="AR96" s="466"/>
      <c r="AS96" s="466"/>
      <c r="AT96" s="467"/>
      <c r="AU96" s="44"/>
    </row>
    <row r="97" spans="1:47" x14ac:dyDescent="0.3">
      <c r="B97" s="64" t="s">
        <v>115</v>
      </c>
      <c r="C97" s="468"/>
      <c r="D97" s="468"/>
      <c r="E97" s="468"/>
      <c r="F97" s="468"/>
      <c r="G97" s="462">
        <v>0</v>
      </c>
      <c r="H97" s="462">
        <v>0</v>
      </c>
      <c r="I97" s="462">
        <v>0</v>
      </c>
      <c r="J97" s="462">
        <v>0</v>
      </c>
      <c r="K97" s="462">
        <v>0</v>
      </c>
      <c r="L97" s="462">
        <v>0</v>
      </c>
      <c r="M97" s="462">
        <v>0</v>
      </c>
      <c r="N97" s="462">
        <v>0</v>
      </c>
      <c r="O97" s="462">
        <v>0</v>
      </c>
      <c r="P97" s="462">
        <v>-2785806.5330999955</v>
      </c>
      <c r="Q97" s="462">
        <v>-3525445.1348124668</v>
      </c>
      <c r="R97" s="462">
        <v>0</v>
      </c>
      <c r="S97" s="462">
        <v>0</v>
      </c>
      <c r="T97" s="462">
        <v>0</v>
      </c>
      <c r="U97" s="462">
        <v>-3236573.2831895668</v>
      </c>
      <c r="V97" s="462">
        <v>-9893542.6600298993</v>
      </c>
      <c r="W97" s="462">
        <v>-4645828.0030432567</v>
      </c>
      <c r="X97" s="462">
        <v>0</v>
      </c>
      <c r="Y97" s="462">
        <v>0</v>
      </c>
      <c r="Z97" s="462">
        <v>0</v>
      </c>
      <c r="AA97" s="462">
        <v>-3456836.540557222</v>
      </c>
      <c r="AB97" s="462">
        <v>-4374642.3100152342</v>
      </c>
      <c r="AC97" s="462">
        <v>0</v>
      </c>
      <c r="AD97" s="462">
        <v>0</v>
      </c>
      <c r="AE97" s="462">
        <v>0</v>
      </c>
      <c r="AF97" s="462">
        <v>0</v>
      </c>
      <c r="AG97" s="462">
        <v>0</v>
      </c>
      <c r="AH97" s="462">
        <v>0</v>
      </c>
      <c r="AI97" s="462">
        <v>0</v>
      </c>
      <c r="AJ97" s="462">
        <v>0</v>
      </c>
      <c r="AK97" s="463">
        <v>0</v>
      </c>
      <c r="AL97" s="463">
        <v>-8761359.5543431565</v>
      </c>
      <c r="AM97" s="463">
        <v>-18949157.563892197</v>
      </c>
      <c r="AN97" s="463">
        <v>-6374224.0270188116</v>
      </c>
      <c r="AO97" s="463">
        <v>0</v>
      </c>
      <c r="AP97" s="463">
        <v>0</v>
      </c>
      <c r="AQ97" s="463">
        <v>0</v>
      </c>
      <c r="AR97" s="463">
        <v>0</v>
      </c>
      <c r="AS97" s="463">
        <v>0</v>
      </c>
      <c r="AT97" s="469">
        <v>0</v>
      </c>
      <c r="AU97" s="44"/>
    </row>
    <row r="98" spans="1:47" x14ac:dyDescent="0.3">
      <c r="B98" s="64" t="s">
        <v>116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49">
        <f>AJ71</f>
        <v>64368005.039426044</v>
      </c>
      <c r="AK98" s="200"/>
      <c r="AL98" s="200"/>
      <c r="AM98" s="200"/>
      <c r="AN98" s="200"/>
      <c r="AO98" s="200"/>
      <c r="AP98" s="200"/>
      <c r="AQ98" s="200"/>
      <c r="AR98" s="200"/>
      <c r="AS98" s="200"/>
      <c r="AT98" s="217">
        <f>AT71</f>
        <v>54912235.411707394</v>
      </c>
      <c r="AU98" s="44"/>
    </row>
    <row r="99" spans="1:47" ht="15" thickBot="1" x14ac:dyDescent="0.35">
      <c r="A99" s="1"/>
      <c r="B99" s="65" t="s">
        <v>117</v>
      </c>
      <c r="C99" s="68">
        <f t="shared" ref="C99:AT99" si="34">C96+C97+C98</f>
        <v>-8360014.1385935172</v>
      </c>
      <c r="D99" s="68">
        <f t="shared" si="34"/>
        <v>-34483054.24129875</v>
      </c>
      <c r="E99" s="68">
        <f t="shared" si="34"/>
        <v>-90904330.469175875</v>
      </c>
      <c r="F99" s="68">
        <f t="shared" si="34"/>
        <v>-36263698.223177493</v>
      </c>
      <c r="G99" s="68">
        <f t="shared" si="34"/>
        <v>0</v>
      </c>
      <c r="H99" s="68">
        <f t="shared" si="34"/>
        <v>0</v>
      </c>
      <c r="I99" s="68">
        <f t="shared" si="34"/>
        <v>0</v>
      </c>
      <c r="J99" s="68">
        <f t="shared" si="34"/>
        <v>0</v>
      </c>
      <c r="K99" s="68">
        <f t="shared" si="34"/>
        <v>0</v>
      </c>
      <c r="L99" s="68">
        <f t="shared" si="34"/>
        <v>0</v>
      </c>
      <c r="M99" s="68">
        <f t="shared" si="34"/>
        <v>0</v>
      </c>
      <c r="N99" s="68">
        <f t="shared" si="34"/>
        <v>0</v>
      </c>
      <c r="O99" s="68">
        <f t="shared" si="34"/>
        <v>0</v>
      </c>
      <c r="P99" s="68">
        <f t="shared" si="34"/>
        <v>-2785806.5330999955</v>
      </c>
      <c r="Q99" s="68">
        <f t="shared" si="34"/>
        <v>-3525445.1348124668</v>
      </c>
      <c r="R99" s="68">
        <f t="shared" si="34"/>
        <v>0</v>
      </c>
      <c r="S99" s="68">
        <f t="shared" si="34"/>
        <v>0</v>
      </c>
      <c r="T99" s="68">
        <f t="shared" si="34"/>
        <v>0</v>
      </c>
      <c r="U99" s="68">
        <f t="shared" si="34"/>
        <v>-3236573.2831895668</v>
      </c>
      <c r="V99" s="68">
        <f t="shared" si="34"/>
        <v>-9893542.6600298993</v>
      </c>
      <c r="W99" s="68">
        <f t="shared" si="34"/>
        <v>-4645828.0030432567</v>
      </c>
      <c r="X99" s="68">
        <f t="shared" si="34"/>
        <v>0</v>
      </c>
      <c r="Y99" s="68">
        <f t="shared" si="34"/>
        <v>0</v>
      </c>
      <c r="Z99" s="68">
        <f t="shared" si="34"/>
        <v>0</v>
      </c>
      <c r="AA99" s="68">
        <f t="shared" si="34"/>
        <v>-3456836.540557222</v>
      </c>
      <c r="AB99" s="68">
        <f t="shared" si="34"/>
        <v>-4374642.3100152342</v>
      </c>
      <c r="AC99" s="68">
        <f t="shared" si="34"/>
        <v>0</v>
      </c>
      <c r="AD99" s="68">
        <f t="shared" si="34"/>
        <v>0</v>
      </c>
      <c r="AE99" s="68">
        <f t="shared" si="34"/>
        <v>0</v>
      </c>
      <c r="AF99" s="68">
        <f t="shared" si="34"/>
        <v>0</v>
      </c>
      <c r="AG99" s="68">
        <f t="shared" si="34"/>
        <v>0</v>
      </c>
      <c r="AH99" s="68">
        <f t="shared" si="34"/>
        <v>0</v>
      </c>
      <c r="AI99" s="68">
        <f t="shared" si="34"/>
        <v>0</v>
      </c>
      <c r="AJ99" s="68">
        <f t="shared" si="34"/>
        <v>64368005.039426044</v>
      </c>
      <c r="AK99" s="211">
        <f t="shared" si="34"/>
        <v>0</v>
      </c>
      <c r="AL99" s="211">
        <f t="shared" si="34"/>
        <v>-8761359.5543431565</v>
      </c>
      <c r="AM99" s="211">
        <f t="shared" si="34"/>
        <v>-18949157.563892197</v>
      </c>
      <c r="AN99" s="211">
        <f t="shared" si="34"/>
        <v>-6374224.0270188116</v>
      </c>
      <c r="AO99" s="211">
        <f t="shared" si="34"/>
        <v>0</v>
      </c>
      <c r="AP99" s="211">
        <f t="shared" si="34"/>
        <v>0</v>
      </c>
      <c r="AQ99" s="211">
        <f t="shared" si="34"/>
        <v>0</v>
      </c>
      <c r="AR99" s="211">
        <f t="shared" si="34"/>
        <v>0</v>
      </c>
      <c r="AS99" s="211">
        <f t="shared" si="34"/>
        <v>0</v>
      </c>
      <c r="AT99" s="212">
        <f t="shared" si="34"/>
        <v>54912235.411707394</v>
      </c>
      <c r="AU99" s="44"/>
    </row>
    <row r="100" spans="1:47" x14ac:dyDescent="0.3">
      <c r="B100" s="69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200"/>
      <c r="AL100" s="200"/>
      <c r="AM100" s="200"/>
      <c r="AN100" s="200"/>
      <c r="AO100" s="200"/>
      <c r="AP100" s="200"/>
      <c r="AQ100" s="200"/>
      <c r="AR100" s="200"/>
      <c r="AS100" s="200"/>
      <c r="AT100" s="200"/>
      <c r="AU100" s="44"/>
    </row>
    <row r="101" spans="1:47" x14ac:dyDescent="0.3">
      <c r="B101" s="69"/>
      <c r="C101" s="15"/>
      <c r="D101" s="15"/>
      <c r="E101" s="86" t="s">
        <v>118</v>
      </c>
      <c r="F101" s="15">
        <f>C99+D99+E99+F99</f>
        <v>-170011097.07224563</v>
      </c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200"/>
      <c r="AL101" s="200"/>
      <c r="AM101" s="200"/>
      <c r="AN101" s="200"/>
      <c r="AO101" s="200"/>
      <c r="AP101" s="200"/>
      <c r="AQ101" s="200"/>
      <c r="AR101" s="200"/>
      <c r="AS101" s="200"/>
      <c r="AT101" s="200"/>
      <c r="AU101" s="44"/>
    </row>
    <row r="102" spans="1:47" x14ac:dyDescent="0.3">
      <c r="B102" s="69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200"/>
      <c r="AL102" s="200"/>
      <c r="AM102" s="200"/>
      <c r="AN102" s="200"/>
      <c r="AO102" s="200"/>
      <c r="AP102" s="200"/>
      <c r="AQ102" s="200"/>
      <c r="AR102" s="200"/>
      <c r="AS102" s="200"/>
      <c r="AT102" s="200"/>
      <c r="AU102" s="44"/>
    </row>
    <row r="103" spans="1:47" x14ac:dyDescent="0.3">
      <c r="B103" s="87" t="s">
        <v>119</v>
      </c>
      <c r="C103" s="15">
        <f t="shared" ref="C103:AJ103" si="35">C93+C99</f>
        <v>-8360014.1385935172</v>
      </c>
      <c r="D103" s="15">
        <f t="shared" si="35"/>
        <v>-34483054.24129875</v>
      </c>
      <c r="E103" s="15">
        <f t="shared" si="35"/>
        <v>-90904330.469175875</v>
      </c>
      <c r="F103" s="15">
        <f t="shared" si="35"/>
        <v>-36263698.223177493</v>
      </c>
      <c r="G103" s="15">
        <f t="shared" si="35"/>
        <v>-537851.39609510172</v>
      </c>
      <c r="H103" s="15">
        <f t="shared" si="35"/>
        <v>1723473.7136191688</v>
      </c>
      <c r="I103" s="15">
        <f t="shared" si="35"/>
        <v>919976.73631819524</v>
      </c>
      <c r="J103" s="15">
        <f t="shared" si="35"/>
        <v>903675.54672904033</v>
      </c>
      <c r="K103" s="15">
        <f t="shared" si="35"/>
        <v>-6708635.4619858377</v>
      </c>
      <c r="L103" s="15">
        <f t="shared" si="35"/>
        <v>1106048.6672808975</v>
      </c>
      <c r="M103" s="15">
        <f t="shared" si="35"/>
        <v>1342356.2183989249</v>
      </c>
      <c r="N103" s="15">
        <f t="shared" si="35"/>
        <v>1321690.7073518476</v>
      </c>
      <c r="O103" s="15">
        <f t="shared" si="35"/>
        <v>1573814.9753153035</v>
      </c>
      <c r="P103" s="15">
        <f t="shared" si="35"/>
        <v>-9840582.3161518592</v>
      </c>
      <c r="Q103" s="15">
        <f t="shared" si="35"/>
        <v>-1704258.9125166666</v>
      </c>
      <c r="R103" s="15">
        <f t="shared" si="35"/>
        <v>1796625.7950624125</v>
      </c>
      <c r="S103" s="15">
        <f t="shared" si="35"/>
        <v>2130337.8102395106</v>
      </c>
      <c r="T103" s="15">
        <f t="shared" si="35"/>
        <v>2148612.630568888</v>
      </c>
      <c r="U103" s="15">
        <f t="shared" si="35"/>
        <v>-10184826.270181403</v>
      </c>
      <c r="V103" s="15">
        <f t="shared" si="35"/>
        <v>-7368122.250577135</v>
      </c>
      <c r="W103" s="15">
        <f t="shared" si="35"/>
        <v>-1734584.1571196793</v>
      </c>
      <c r="X103" s="15">
        <f t="shared" si="35"/>
        <v>3016009.3271231912</v>
      </c>
      <c r="Y103" s="15">
        <f t="shared" si="35"/>
        <v>3524831.7902153609</v>
      </c>
      <c r="Z103" s="15">
        <f t="shared" si="35"/>
        <v>-6757211.3646380864</v>
      </c>
      <c r="AA103" s="15">
        <f t="shared" si="35"/>
        <v>725620.20772256749</v>
      </c>
      <c r="AB103" s="15">
        <f t="shared" si="35"/>
        <v>-81668.396920256317</v>
      </c>
      <c r="AC103" s="15">
        <f t="shared" si="35"/>
        <v>4591407.2689356431</v>
      </c>
      <c r="AD103" s="15">
        <f t="shared" si="35"/>
        <v>4409630.7095581545</v>
      </c>
      <c r="AE103" s="15">
        <f t="shared" si="35"/>
        <v>-6697110.1970497407</v>
      </c>
      <c r="AF103" s="15">
        <f t="shared" si="35"/>
        <v>4527799.9190476593</v>
      </c>
      <c r="AG103" s="15">
        <f t="shared" si="35"/>
        <v>4847524.2482870948</v>
      </c>
      <c r="AH103" s="15">
        <f t="shared" si="35"/>
        <v>4647361.6091608927</v>
      </c>
      <c r="AI103" s="15">
        <f t="shared" si="35"/>
        <v>4942615.9306575665</v>
      </c>
      <c r="AJ103" s="15">
        <f t="shared" si="35"/>
        <v>56593225.025837526</v>
      </c>
      <c r="AK103" s="200"/>
      <c r="AL103" s="200"/>
      <c r="AM103" s="200"/>
      <c r="AN103" s="200"/>
      <c r="AO103" s="200"/>
      <c r="AP103" s="200"/>
      <c r="AQ103" s="200"/>
      <c r="AR103" s="200"/>
      <c r="AS103" s="200"/>
      <c r="AT103" s="200"/>
      <c r="AU103" s="44"/>
    </row>
    <row r="104" spans="1:47" x14ac:dyDescent="0.3">
      <c r="B104" s="87" t="s">
        <v>120</v>
      </c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88">
        <f>IRR(C103:AJ103)</f>
        <v>-3.1918165412558541E-2</v>
      </c>
      <c r="AK104" s="200"/>
      <c r="AL104" s="200"/>
      <c r="AM104" s="200"/>
      <c r="AN104" s="200"/>
      <c r="AO104" s="200"/>
      <c r="AP104" s="200"/>
      <c r="AQ104" s="200"/>
      <c r="AR104" s="200"/>
      <c r="AS104" s="200"/>
      <c r="AT104" s="200"/>
      <c r="AU104" s="44"/>
    </row>
    <row r="105" spans="1:47" x14ac:dyDescent="0.3">
      <c r="B105" s="87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200"/>
      <c r="AL105" s="200"/>
      <c r="AM105" s="200"/>
      <c r="AN105" s="200"/>
      <c r="AO105" s="200"/>
      <c r="AP105" s="200"/>
      <c r="AQ105" s="200"/>
      <c r="AR105" s="200"/>
      <c r="AS105" s="200"/>
      <c r="AT105" s="200"/>
      <c r="AU105" s="44"/>
    </row>
    <row r="106" spans="1:47" x14ac:dyDescent="0.3">
      <c r="B106" s="87" t="s">
        <v>121</v>
      </c>
      <c r="C106" s="15">
        <f>C93+C99</f>
        <v>-8360014.1385935172</v>
      </c>
      <c r="D106" s="15">
        <f t="shared" ref="D106:AT106" si="36">D93+D99</f>
        <v>-34483054.24129875</v>
      </c>
      <c r="E106" s="15">
        <f t="shared" si="36"/>
        <v>-90904330.469175875</v>
      </c>
      <c r="F106" s="15">
        <f t="shared" si="36"/>
        <v>-36263698.223177493</v>
      </c>
      <c r="G106" s="15">
        <f t="shared" si="36"/>
        <v>-537851.39609510172</v>
      </c>
      <c r="H106" s="15">
        <f t="shared" si="36"/>
        <v>1723473.7136191688</v>
      </c>
      <c r="I106" s="15">
        <f t="shared" si="36"/>
        <v>919976.73631819524</v>
      </c>
      <c r="J106" s="15">
        <f t="shared" si="36"/>
        <v>903675.54672904033</v>
      </c>
      <c r="K106" s="15">
        <f t="shared" si="36"/>
        <v>-6708635.4619858377</v>
      </c>
      <c r="L106" s="15">
        <f t="shared" si="36"/>
        <v>1106048.6672808975</v>
      </c>
      <c r="M106" s="15">
        <f t="shared" si="36"/>
        <v>1342356.2183989249</v>
      </c>
      <c r="N106" s="15">
        <f t="shared" si="36"/>
        <v>1321690.7073518476</v>
      </c>
      <c r="O106" s="15">
        <f t="shared" si="36"/>
        <v>1573814.9753153035</v>
      </c>
      <c r="P106" s="15">
        <f t="shared" si="36"/>
        <v>-9840582.3161518592</v>
      </c>
      <c r="Q106" s="15">
        <f t="shared" si="36"/>
        <v>-1704258.9125166666</v>
      </c>
      <c r="R106" s="15">
        <f t="shared" si="36"/>
        <v>1796625.7950624125</v>
      </c>
      <c r="S106" s="15">
        <f t="shared" si="36"/>
        <v>2130337.8102395106</v>
      </c>
      <c r="T106" s="15">
        <f t="shared" si="36"/>
        <v>2148612.630568888</v>
      </c>
      <c r="U106" s="15">
        <f t="shared" si="36"/>
        <v>-10184826.270181403</v>
      </c>
      <c r="V106" s="15">
        <f t="shared" si="36"/>
        <v>-7368122.250577135</v>
      </c>
      <c r="W106" s="15">
        <f t="shared" si="36"/>
        <v>-1734584.1571196793</v>
      </c>
      <c r="X106" s="15">
        <f t="shared" si="36"/>
        <v>3016009.3271231912</v>
      </c>
      <c r="Y106" s="15">
        <f t="shared" si="36"/>
        <v>3524831.7902153609</v>
      </c>
      <c r="Z106" s="15">
        <f t="shared" si="36"/>
        <v>-6757211.3646380864</v>
      </c>
      <c r="AA106" s="15">
        <f t="shared" si="36"/>
        <v>725620.20772256749</v>
      </c>
      <c r="AB106" s="15">
        <f t="shared" si="36"/>
        <v>-81668.396920256317</v>
      </c>
      <c r="AC106" s="15">
        <f t="shared" si="36"/>
        <v>4591407.2689356431</v>
      </c>
      <c r="AD106" s="15">
        <f t="shared" si="36"/>
        <v>4409630.7095581545</v>
      </c>
      <c r="AE106" s="15">
        <f t="shared" si="36"/>
        <v>-6697110.1970497407</v>
      </c>
      <c r="AF106" s="15">
        <f t="shared" si="36"/>
        <v>4527799.9190476593</v>
      </c>
      <c r="AG106" s="15">
        <f t="shared" si="36"/>
        <v>4847524.2482870948</v>
      </c>
      <c r="AH106" s="15">
        <f t="shared" si="36"/>
        <v>4647361.6091608927</v>
      </c>
      <c r="AI106" s="15">
        <f t="shared" si="36"/>
        <v>4942615.9306575665</v>
      </c>
      <c r="AJ106" s="49">
        <f>AJ93+AJ97</f>
        <v>-7774780.0135885216</v>
      </c>
      <c r="AK106" s="200">
        <f t="shared" si="36"/>
        <v>5028627.2241698913</v>
      </c>
      <c r="AL106" s="200">
        <f t="shared" si="36"/>
        <v>-3876031.4492058279</v>
      </c>
      <c r="AM106" s="200">
        <f t="shared" si="36"/>
        <v>-14248338.510354867</v>
      </c>
      <c r="AN106" s="200">
        <f t="shared" si="36"/>
        <v>-2097909.3378318744</v>
      </c>
      <c r="AO106" s="200">
        <f t="shared" si="36"/>
        <v>-8402143.8961256854</v>
      </c>
      <c r="AP106" s="200">
        <f t="shared" si="36"/>
        <v>5136579.027077524</v>
      </c>
      <c r="AQ106" s="200">
        <f t="shared" si="36"/>
        <v>5455191.6002190793</v>
      </c>
      <c r="AR106" s="200">
        <f t="shared" si="36"/>
        <v>5260730.6545751859</v>
      </c>
      <c r="AS106" s="200">
        <f t="shared" si="36"/>
        <v>5544336.9020918133</v>
      </c>
      <c r="AT106" s="200">
        <f t="shared" si="36"/>
        <v>45154874.69395344</v>
      </c>
      <c r="AU106" s="44"/>
    </row>
    <row r="107" spans="1:47" x14ac:dyDescent="0.3">
      <c r="B107" s="87" t="s">
        <v>122</v>
      </c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200"/>
      <c r="AL107" s="200"/>
      <c r="AM107" s="200"/>
      <c r="AN107" s="200"/>
      <c r="AO107" s="200"/>
      <c r="AP107" s="200"/>
      <c r="AQ107" s="200"/>
      <c r="AR107" s="200"/>
      <c r="AS107" s="200"/>
      <c r="AT107" s="218">
        <f>IRR(C106:AT106)</f>
        <v>-3.2438667390456533E-2</v>
      </c>
      <c r="AU107" s="44"/>
    </row>
    <row r="108" spans="1:47" x14ac:dyDescent="0.3">
      <c r="B108" s="87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200"/>
      <c r="AL108" s="200"/>
      <c r="AM108" s="200"/>
      <c r="AN108" s="200"/>
      <c r="AO108" s="200"/>
      <c r="AP108" s="200"/>
      <c r="AQ108" s="200"/>
      <c r="AR108" s="200"/>
      <c r="AS108" s="200"/>
      <c r="AT108" s="200"/>
      <c r="AU108" s="44"/>
    </row>
    <row r="109" spans="1:47" x14ac:dyDescent="0.3">
      <c r="B109" s="87" t="s">
        <v>123</v>
      </c>
      <c r="C109" s="15">
        <f>C83</f>
        <v>0</v>
      </c>
      <c r="D109" s="15">
        <f t="shared" ref="D109:AT109" si="37">D83</f>
        <v>0</v>
      </c>
      <c r="E109" s="15">
        <f t="shared" si="37"/>
        <v>0</v>
      </c>
      <c r="F109" s="15">
        <f t="shared" si="37"/>
        <v>0</v>
      </c>
      <c r="G109" s="15">
        <f t="shared" si="37"/>
        <v>-537851.39609510172</v>
      </c>
      <c r="H109" s="15">
        <f t="shared" si="37"/>
        <v>1723473.7136191688</v>
      </c>
      <c r="I109" s="15">
        <f t="shared" si="37"/>
        <v>919976.73631819524</v>
      </c>
      <c r="J109" s="15">
        <f t="shared" si="37"/>
        <v>903675.54672904033</v>
      </c>
      <c r="K109" s="15">
        <f t="shared" si="37"/>
        <v>-6708635.4619858367</v>
      </c>
      <c r="L109" s="15">
        <f t="shared" si="37"/>
        <v>1106048.6672808975</v>
      </c>
      <c r="M109" s="15">
        <f t="shared" si="37"/>
        <v>1342356.2183989249</v>
      </c>
      <c r="N109" s="15">
        <f t="shared" si="37"/>
        <v>1321690.7073518476</v>
      </c>
      <c r="O109" s="15">
        <f t="shared" si="37"/>
        <v>1573814.9753153035</v>
      </c>
      <c r="P109" s="15">
        <f t="shared" si="37"/>
        <v>-7054775.7830518642</v>
      </c>
      <c r="Q109" s="15">
        <f t="shared" si="37"/>
        <v>1821186.2222958002</v>
      </c>
      <c r="R109" s="15">
        <f t="shared" si="37"/>
        <v>1796625.7950624125</v>
      </c>
      <c r="S109" s="15">
        <f t="shared" si="37"/>
        <v>2130337.8102395106</v>
      </c>
      <c r="T109" s="15">
        <f t="shared" si="37"/>
        <v>2148612.630568888</v>
      </c>
      <c r="U109" s="15">
        <f t="shared" si="37"/>
        <v>-6948252.9869918358</v>
      </c>
      <c r="V109" s="15">
        <f t="shared" si="37"/>
        <v>2525420.4094527643</v>
      </c>
      <c r="W109" s="15">
        <f t="shared" si="37"/>
        <v>2911243.8459235774</v>
      </c>
      <c r="X109" s="15">
        <f t="shared" si="37"/>
        <v>3016009.3271231912</v>
      </c>
      <c r="Y109" s="15">
        <f t="shared" si="37"/>
        <v>3524831.7902153609</v>
      </c>
      <c r="Z109" s="15">
        <f t="shared" si="37"/>
        <v>-6757211.3646380864</v>
      </c>
      <c r="AA109" s="15">
        <f t="shared" si="37"/>
        <v>4182456.7482797895</v>
      </c>
      <c r="AB109" s="15">
        <f t="shared" si="37"/>
        <v>4292973.9130949778</v>
      </c>
      <c r="AC109" s="15">
        <f t="shared" si="37"/>
        <v>4591407.2689356431</v>
      </c>
      <c r="AD109" s="15">
        <f t="shared" si="37"/>
        <v>4409630.7095581545</v>
      </c>
      <c r="AE109" s="15">
        <f t="shared" si="37"/>
        <v>-6697110.1970497407</v>
      </c>
      <c r="AF109" s="15">
        <f t="shared" si="37"/>
        <v>4527799.9190476593</v>
      </c>
      <c r="AG109" s="15">
        <f t="shared" si="37"/>
        <v>4847524.2482870948</v>
      </c>
      <c r="AH109" s="15">
        <f t="shared" si="37"/>
        <v>4647361.6091608927</v>
      </c>
      <c r="AI109" s="15">
        <f t="shared" si="37"/>
        <v>4978240.9429027643</v>
      </c>
      <c r="AJ109" s="15">
        <f t="shared" si="37"/>
        <v>-7774780.0135885216</v>
      </c>
      <c r="AK109" s="200">
        <f t="shared" si="37"/>
        <v>5110566.0098448023</v>
      </c>
      <c r="AL109" s="200">
        <f t="shared" si="37"/>
        <v>4890105.8267177828</v>
      </c>
      <c r="AM109" s="200">
        <f t="shared" si="37"/>
        <v>5244356.5556605477</v>
      </c>
      <c r="AN109" s="200">
        <f t="shared" si="37"/>
        <v>5012967.9332292303</v>
      </c>
      <c r="AO109" s="200">
        <f t="shared" si="37"/>
        <v>-8402143.8961256873</v>
      </c>
      <c r="AP109" s="200">
        <f t="shared" si="37"/>
        <v>5136579.027077524</v>
      </c>
      <c r="AQ109" s="200">
        <f t="shared" si="37"/>
        <v>5515673.1369227506</v>
      </c>
      <c r="AR109" s="200">
        <f t="shared" si="37"/>
        <v>5260730.6545751859</v>
      </c>
      <c r="AS109" s="200">
        <f t="shared" si="37"/>
        <v>5652819.7551884949</v>
      </c>
      <c r="AT109" s="200">
        <f t="shared" si="37"/>
        <v>-9757360.717753958</v>
      </c>
      <c r="AU109" s="44"/>
    </row>
    <row r="110" spans="1:47" x14ac:dyDescent="0.3">
      <c r="B110" s="87" t="s">
        <v>124</v>
      </c>
      <c r="C110" s="15">
        <f>C109+C70</f>
        <v>0</v>
      </c>
      <c r="D110" s="15">
        <f t="shared" ref="D110:AT110" si="38">D109+D70</f>
        <v>0</v>
      </c>
      <c r="E110" s="15">
        <f t="shared" si="38"/>
        <v>0</v>
      </c>
      <c r="F110" s="15">
        <f t="shared" si="38"/>
        <v>0</v>
      </c>
      <c r="G110" s="15">
        <f t="shared" si="38"/>
        <v>-5378571.2132910276</v>
      </c>
      <c r="H110" s="15">
        <f t="shared" si="38"/>
        <v>-3117246.103576757</v>
      </c>
      <c r="I110" s="15">
        <f t="shared" si="38"/>
        <v>-3920743.0808777306</v>
      </c>
      <c r="J110" s="15">
        <f t="shared" si="38"/>
        <v>-3937044.2704668855</v>
      </c>
      <c r="K110" s="15">
        <f t="shared" si="38"/>
        <v>-11549355.279181764</v>
      </c>
      <c r="L110" s="15">
        <f t="shared" si="38"/>
        <v>-3449229.508887928</v>
      </c>
      <c r="M110" s="15">
        <f t="shared" si="38"/>
        <v>-3212921.9577699006</v>
      </c>
      <c r="N110" s="15">
        <f t="shared" si="38"/>
        <v>-3233587.4688169779</v>
      </c>
      <c r="O110" s="15">
        <f t="shared" si="38"/>
        <v>-2981463.2008535219</v>
      </c>
      <c r="P110" s="15">
        <f t="shared" si="38"/>
        <v>-11610053.959220689</v>
      </c>
      <c r="Q110" s="15">
        <f t="shared" si="38"/>
        <v>-2130614.9573700037</v>
      </c>
      <c r="R110" s="15">
        <f t="shared" si="38"/>
        <v>-2786300.5513946377</v>
      </c>
      <c r="S110" s="15">
        <f t="shared" si="38"/>
        <v>-2452588.5362175396</v>
      </c>
      <c r="T110" s="15">
        <f t="shared" si="38"/>
        <v>-2434313.7158881621</v>
      </c>
      <c r="U110" s="15">
        <f t="shared" si="38"/>
        <v>-11531179.333448887</v>
      </c>
      <c r="V110" s="15">
        <f t="shared" si="38"/>
        <v>-1013949.1361611602</v>
      </c>
      <c r="W110" s="15">
        <f t="shared" si="38"/>
        <v>-628125.69969034707</v>
      </c>
      <c r="X110" s="15">
        <f t="shared" si="38"/>
        <v>-1708423.1482415814</v>
      </c>
      <c r="Y110" s="15">
        <f t="shared" si="38"/>
        <v>-1199600.6851494117</v>
      </c>
      <c r="Z110" s="15">
        <f t="shared" si="38"/>
        <v>-11481643.840002859</v>
      </c>
      <c r="AA110" s="15">
        <f t="shared" si="38"/>
        <v>-541975.72708498314</v>
      </c>
      <c r="AB110" s="15">
        <f t="shared" si="38"/>
        <v>-431458.56226979475</v>
      </c>
      <c r="AC110" s="15">
        <f t="shared" si="38"/>
        <v>-285047.92469512857</v>
      </c>
      <c r="AD110" s="15">
        <f t="shared" si="38"/>
        <v>-466824.48407261726</v>
      </c>
      <c r="AE110" s="15">
        <f t="shared" si="38"/>
        <v>-11573565.390680512</v>
      </c>
      <c r="AF110" s="15">
        <f t="shared" si="38"/>
        <v>-348655.27458311245</v>
      </c>
      <c r="AG110" s="15">
        <f t="shared" si="38"/>
        <v>-28930.945343676955</v>
      </c>
      <c r="AH110" s="15">
        <f t="shared" si="38"/>
        <v>-229093.58446987905</v>
      </c>
      <c r="AI110" s="15">
        <f t="shared" si="38"/>
        <v>101785.74927199259</v>
      </c>
      <c r="AJ110" s="15">
        <f t="shared" si="38"/>
        <v>-12651235.207219293</v>
      </c>
      <c r="AK110" s="200">
        <f t="shared" si="38"/>
        <v>234110.81621403061</v>
      </c>
      <c r="AL110" s="200">
        <f t="shared" si="38"/>
        <v>13650.633087011054</v>
      </c>
      <c r="AM110" s="200">
        <f t="shared" si="38"/>
        <v>1552964.2917806236</v>
      </c>
      <c r="AN110" s="200">
        <f t="shared" si="38"/>
        <v>2104723.5544065521</v>
      </c>
      <c r="AO110" s="200">
        <f t="shared" si="38"/>
        <v>-13745012.642466519</v>
      </c>
      <c r="AP110" s="200">
        <f t="shared" si="38"/>
        <v>-206289.71926330868</v>
      </c>
      <c r="AQ110" s="200">
        <f t="shared" si="38"/>
        <v>172804.39058191795</v>
      </c>
      <c r="AR110" s="200">
        <f t="shared" si="38"/>
        <v>-82138.091765646823</v>
      </c>
      <c r="AS110" s="200">
        <f t="shared" si="38"/>
        <v>309951.00884766225</v>
      </c>
      <c r="AT110" s="200">
        <f t="shared" si="38"/>
        <v>-15100229.464094792</v>
      </c>
      <c r="AU110" s="44"/>
    </row>
    <row r="111" spans="1:47" x14ac:dyDescent="0.3">
      <c r="B111" s="87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200"/>
      <c r="AL111" s="200"/>
      <c r="AM111" s="200"/>
      <c r="AN111" s="200"/>
      <c r="AO111" s="200"/>
      <c r="AP111" s="200"/>
      <c r="AQ111" s="200"/>
      <c r="AR111" s="200"/>
      <c r="AS111" s="200"/>
      <c r="AT111" s="200"/>
      <c r="AU111" s="44"/>
    </row>
    <row r="112" spans="1:47" x14ac:dyDescent="0.3">
      <c r="B112" s="87" t="s">
        <v>125</v>
      </c>
      <c r="C112" s="89"/>
      <c r="D112" s="89"/>
      <c r="E112" s="89"/>
      <c r="F112" s="89"/>
      <c r="G112" s="90">
        <f>ABS(G81)/ABS(G76)</f>
        <v>0.88254531907521139</v>
      </c>
      <c r="H112" s="90">
        <f t="shared" ref="H112:AT112" si="39">ABS(H81)/ABS(H76)</f>
        <v>1.4702489246298311</v>
      </c>
      <c r="I112" s="90">
        <f t="shared" si="39"/>
        <v>1.1912603852040995</v>
      </c>
      <c r="J112" s="90">
        <f t="shared" si="39"/>
        <v>1.183571186379518</v>
      </c>
      <c r="K112" s="90">
        <f t="shared" si="39"/>
        <v>0.47876773559637464</v>
      </c>
      <c r="L112" s="90">
        <f t="shared" si="39"/>
        <v>1.2145039922642284</v>
      </c>
      <c r="M112" s="90">
        <f t="shared" si="39"/>
        <v>1.2543631890221043</v>
      </c>
      <c r="N112" s="90">
        <f t="shared" si="39"/>
        <v>1.2447008557488413</v>
      </c>
      <c r="O112" s="90">
        <f t="shared" si="39"/>
        <v>1.2846900683461402</v>
      </c>
      <c r="P112" s="90">
        <f t="shared" si="39"/>
        <v>0.50542073716562952</v>
      </c>
      <c r="Q112" s="90">
        <f t="shared" si="39"/>
        <v>1.3144708681494592</v>
      </c>
      <c r="R112" s="90">
        <f t="shared" si="39"/>
        <v>1.3030945366665971</v>
      </c>
      <c r="S112" s="90">
        <f t="shared" si="39"/>
        <v>1.351121287040975</v>
      </c>
      <c r="T112" s="90">
        <f t="shared" si="39"/>
        <v>1.3459782529076507</v>
      </c>
      <c r="U112" s="90">
        <f t="shared" si="39"/>
        <v>0.56058811133428954</v>
      </c>
      <c r="V112" s="90">
        <f t="shared" si="39"/>
        <v>1.3881232663594569</v>
      </c>
      <c r="W112" s="90">
        <f t="shared" si="39"/>
        <v>1.437097058335389</v>
      </c>
      <c r="X112" s="90">
        <f t="shared" si="39"/>
        <v>1.4423734433416935</v>
      </c>
      <c r="Y112" s="90">
        <f t="shared" si="39"/>
        <v>1.5050630332418067</v>
      </c>
      <c r="Z112" s="90">
        <f t="shared" si="39"/>
        <v>0.61461748107875824</v>
      </c>
      <c r="AA112" s="90">
        <f t="shared" si="39"/>
        <v>1.5719018636312692</v>
      </c>
      <c r="AB112" s="90">
        <f t="shared" si="39"/>
        <v>1.5734299055200558</v>
      </c>
      <c r="AC112" s="90">
        <f t="shared" si="39"/>
        <v>1.5990922050906462</v>
      </c>
      <c r="AD112" s="90">
        <f t="shared" si="39"/>
        <v>1.5620430149156168</v>
      </c>
      <c r="AE112" s="90">
        <f t="shared" si="39"/>
        <v>0.65563262343016859</v>
      </c>
      <c r="AF112" s="90">
        <f t="shared" si="39"/>
        <v>1.5506487593676213</v>
      </c>
      <c r="AG112" s="90">
        <f t="shared" si="39"/>
        <v>1.5758482306782262</v>
      </c>
      <c r="AH112" s="90">
        <f t="shared" si="39"/>
        <v>1.5392483424006711</v>
      </c>
      <c r="AI112" s="90">
        <f t="shared" si="39"/>
        <v>1.5642171240114651</v>
      </c>
      <c r="AJ112" s="90">
        <f t="shared" si="39"/>
        <v>0.6396609851867654</v>
      </c>
      <c r="AK112" s="219">
        <f t="shared" si="39"/>
        <v>1.5525815775440717</v>
      </c>
      <c r="AL112" s="219">
        <f t="shared" si="39"/>
        <v>1.5164338472676815</v>
      </c>
      <c r="AM112" s="219">
        <f t="shared" si="39"/>
        <v>1.5409428228453874</v>
      </c>
      <c r="AN112" s="219">
        <f t="shared" si="39"/>
        <v>1.5050221838367961</v>
      </c>
      <c r="AO112" s="219">
        <f t="shared" si="39"/>
        <v>0.64910490889573103</v>
      </c>
      <c r="AP112" s="219">
        <f t="shared" si="39"/>
        <v>1.4936091876038291</v>
      </c>
      <c r="AQ112" s="219">
        <f t="shared" si="39"/>
        <v>1.5176606187429607</v>
      </c>
      <c r="AR112" s="219">
        <f t="shared" si="39"/>
        <v>1.482196067219643</v>
      </c>
      <c r="AS112" s="219">
        <f t="shared" si="39"/>
        <v>1.5060196348772852</v>
      </c>
      <c r="AT112" s="219">
        <f t="shared" si="39"/>
        <v>0.63292425080782144</v>
      </c>
      <c r="AU112" s="44"/>
    </row>
    <row r="113" spans="1:47" x14ac:dyDescent="0.3">
      <c r="B113" s="87" t="s">
        <v>29</v>
      </c>
      <c r="C113" s="89"/>
      <c r="D113" s="89"/>
      <c r="E113" s="89"/>
      <c r="F113" s="89"/>
      <c r="G113" s="90">
        <f>G112-1</f>
        <v>-0.11745468092478861</v>
      </c>
      <c r="H113" s="90">
        <f t="shared" ref="H113:AT113" si="40">H112-1</f>
        <v>0.47024892462983114</v>
      </c>
      <c r="I113" s="90">
        <f t="shared" si="40"/>
        <v>0.19126038520409949</v>
      </c>
      <c r="J113" s="90">
        <f t="shared" si="40"/>
        <v>0.18357118637951797</v>
      </c>
      <c r="K113" s="90">
        <f t="shared" si="40"/>
        <v>-0.52123226440362536</v>
      </c>
      <c r="L113" s="90">
        <f t="shared" si="40"/>
        <v>0.21450399226422845</v>
      </c>
      <c r="M113" s="90">
        <f t="shared" si="40"/>
        <v>0.25436318902210431</v>
      </c>
      <c r="N113" s="90">
        <f t="shared" si="40"/>
        <v>0.24470085574884126</v>
      </c>
      <c r="O113" s="90">
        <f t="shared" si="40"/>
        <v>0.28469006834614019</v>
      </c>
      <c r="P113" s="90">
        <f t="shared" si="40"/>
        <v>-0.49457926283437048</v>
      </c>
      <c r="Q113" s="90">
        <f t="shared" si="40"/>
        <v>0.31447086814945924</v>
      </c>
      <c r="R113" s="90">
        <f t="shared" si="40"/>
        <v>0.30309453666659714</v>
      </c>
      <c r="S113" s="90">
        <f t="shared" si="40"/>
        <v>0.35112128704097501</v>
      </c>
      <c r="T113" s="90">
        <f t="shared" si="40"/>
        <v>0.34597825290765072</v>
      </c>
      <c r="U113" s="90">
        <f t="shared" si="40"/>
        <v>-0.43941188866571046</v>
      </c>
      <c r="V113" s="90">
        <f t="shared" si="40"/>
        <v>0.38812326635945693</v>
      </c>
      <c r="W113" s="90">
        <f t="shared" si="40"/>
        <v>0.43709705833538903</v>
      </c>
      <c r="X113" s="90">
        <f t="shared" si="40"/>
        <v>0.44237344334169348</v>
      </c>
      <c r="Y113" s="90">
        <f t="shared" si="40"/>
        <v>0.50506303324180668</v>
      </c>
      <c r="Z113" s="90">
        <f t="shared" si="40"/>
        <v>-0.38538251892124176</v>
      </c>
      <c r="AA113" s="90">
        <f t="shared" si="40"/>
        <v>0.57190186363126916</v>
      </c>
      <c r="AB113" s="90">
        <f t="shared" si="40"/>
        <v>0.57342990552005579</v>
      </c>
      <c r="AC113" s="90">
        <f t="shared" si="40"/>
        <v>0.5990922050906462</v>
      </c>
      <c r="AD113" s="90">
        <f t="shared" si="40"/>
        <v>0.56204301491561681</v>
      </c>
      <c r="AE113" s="90">
        <f t="shared" si="40"/>
        <v>-0.34436737656983141</v>
      </c>
      <c r="AF113" s="90">
        <f t="shared" si="40"/>
        <v>0.55064875936762125</v>
      </c>
      <c r="AG113" s="90">
        <f t="shared" si="40"/>
        <v>0.57584823067822621</v>
      </c>
      <c r="AH113" s="90">
        <f t="shared" si="40"/>
        <v>0.5392483424006711</v>
      </c>
      <c r="AI113" s="90">
        <f t="shared" si="40"/>
        <v>0.56421712401146507</v>
      </c>
      <c r="AJ113" s="90">
        <f t="shared" si="40"/>
        <v>-0.3603390148132346</v>
      </c>
      <c r="AK113" s="219">
        <f t="shared" si="40"/>
        <v>0.55258157754407167</v>
      </c>
      <c r="AL113" s="219">
        <f t="shared" si="40"/>
        <v>0.51643384726768149</v>
      </c>
      <c r="AM113" s="219">
        <f t="shared" si="40"/>
        <v>0.54094282284538742</v>
      </c>
      <c r="AN113" s="219">
        <f t="shared" si="40"/>
        <v>0.50502218383679609</v>
      </c>
      <c r="AO113" s="219">
        <f t="shared" si="40"/>
        <v>-0.35089509110426897</v>
      </c>
      <c r="AP113" s="219">
        <f t="shared" si="40"/>
        <v>0.4936091876038291</v>
      </c>
      <c r="AQ113" s="219">
        <f t="shared" si="40"/>
        <v>0.51766061874296065</v>
      </c>
      <c r="AR113" s="219">
        <f t="shared" si="40"/>
        <v>0.48219606721964303</v>
      </c>
      <c r="AS113" s="219">
        <f t="shared" si="40"/>
        <v>0.50601963487728518</v>
      </c>
      <c r="AT113" s="219">
        <f t="shared" si="40"/>
        <v>-0.36707574919217856</v>
      </c>
      <c r="AU113" s="44"/>
    </row>
    <row r="114" spans="1:47" x14ac:dyDescent="0.3">
      <c r="B114" s="87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200"/>
      <c r="AL114" s="200"/>
      <c r="AM114" s="200"/>
      <c r="AN114" s="200"/>
      <c r="AO114" s="200"/>
      <c r="AP114" s="200"/>
      <c r="AQ114" s="200"/>
      <c r="AR114" s="200"/>
      <c r="AS114" s="200"/>
      <c r="AT114" s="200"/>
      <c r="AU114" s="44"/>
    </row>
    <row r="115" spans="1:47" x14ac:dyDescent="0.3">
      <c r="B115" s="91" t="s">
        <v>119</v>
      </c>
      <c r="C115" s="20">
        <f>C103</f>
        <v>-8360014.1385935172</v>
      </c>
      <c r="D115" s="20">
        <f t="shared" ref="D115:AJ115" si="41">D103</f>
        <v>-34483054.24129875</v>
      </c>
      <c r="E115" s="20">
        <f t="shared" si="41"/>
        <v>-90904330.469175875</v>
      </c>
      <c r="F115" s="20">
        <f t="shared" si="41"/>
        <v>-36263698.223177493</v>
      </c>
      <c r="G115" s="20">
        <f t="shared" si="41"/>
        <v>-537851.39609510172</v>
      </c>
      <c r="H115" s="20">
        <f t="shared" si="41"/>
        <v>1723473.7136191688</v>
      </c>
      <c r="I115" s="20">
        <f t="shared" si="41"/>
        <v>919976.73631819524</v>
      </c>
      <c r="J115" s="20">
        <f t="shared" si="41"/>
        <v>903675.54672904033</v>
      </c>
      <c r="K115" s="20">
        <f t="shared" si="41"/>
        <v>-6708635.4619858377</v>
      </c>
      <c r="L115" s="20">
        <f t="shared" si="41"/>
        <v>1106048.6672808975</v>
      </c>
      <c r="M115" s="20">
        <f t="shared" si="41"/>
        <v>1342356.2183989249</v>
      </c>
      <c r="N115" s="20">
        <f t="shared" si="41"/>
        <v>1321690.7073518476</v>
      </c>
      <c r="O115" s="20">
        <f t="shared" si="41"/>
        <v>1573814.9753153035</v>
      </c>
      <c r="P115" s="20">
        <f t="shared" si="41"/>
        <v>-9840582.3161518592</v>
      </c>
      <c r="Q115" s="20">
        <f t="shared" si="41"/>
        <v>-1704258.9125166666</v>
      </c>
      <c r="R115" s="20">
        <f t="shared" si="41"/>
        <v>1796625.7950624125</v>
      </c>
      <c r="S115" s="20">
        <f t="shared" si="41"/>
        <v>2130337.8102395106</v>
      </c>
      <c r="T115" s="20">
        <f t="shared" si="41"/>
        <v>2148612.630568888</v>
      </c>
      <c r="U115" s="20">
        <f t="shared" si="41"/>
        <v>-10184826.270181403</v>
      </c>
      <c r="V115" s="20">
        <f t="shared" si="41"/>
        <v>-7368122.250577135</v>
      </c>
      <c r="W115" s="20">
        <f t="shared" si="41"/>
        <v>-1734584.1571196793</v>
      </c>
      <c r="X115" s="20">
        <f t="shared" si="41"/>
        <v>3016009.3271231912</v>
      </c>
      <c r="Y115" s="20">
        <f t="shared" si="41"/>
        <v>3524831.7902153609</v>
      </c>
      <c r="Z115" s="20">
        <f t="shared" si="41"/>
        <v>-6757211.3646380864</v>
      </c>
      <c r="AA115" s="20">
        <f t="shared" si="41"/>
        <v>725620.20772256749</v>
      </c>
      <c r="AB115" s="20">
        <f t="shared" si="41"/>
        <v>-81668.396920256317</v>
      </c>
      <c r="AC115" s="20">
        <f t="shared" si="41"/>
        <v>4591407.2689356431</v>
      </c>
      <c r="AD115" s="20">
        <f t="shared" si="41"/>
        <v>4409630.7095581545</v>
      </c>
      <c r="AE115" s="20">
        <f t="shared" si="41"/>
        <v>-6697110.1970497407</v>
      </c>
      <c r="AF115" s="20">
        <f t="shared" si="41"/>
        <v>4527799.9190476593</v>
      </c>
      <c r="AG115" s="20">
        <f t="shared" si="41"/>
        <v>4847524.2482870948</v>
      </c>
      <c r="AH115" s="20">
        <f t="shared" si="41"/>
        <v>4647361.6091608927</v>
      </c>
      <c r="AI115" s="20">
        <f t="shared" si="41"/>
        <v>4942615.9306575665</v>
      </c>
      <c r="AJ115" s="20">
        <f t="shared" si="41"/>
        <v>56593225.025837526</v>
      </c>
      <c r="AK115" s="201"/>
      <c r="AL115" s="201"/>
      <c r="AM115" s="201"/>
      <c r="AN115" s="201"/>
      <c r="AO115" s="201"/>
      <c r="AP115" s="201"/>
      <c r="AQ115" s="201"/>
      <c r="AR115" s="201"/>
      <c r="AS115" s="201"/>
      <c r="AT115" s="201"/>
      <c r="AU115" s="44"/>
    </row>
    <row r="116" spans="1:47" x14ac:dyDescent="0.3">
      <c r="B116" s="91" t="s">
        <v>240</v>
      </c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226">
        <f>NPV(C26,C115:AJ115)</f>
        <v>-120871774.2702049</v>
      </c>
      <c r="AK116" s="312"/>
      <c r="AL116" s="312"/>
      <c r="AM116" s="312"/>
      <c r="AN116" s="312"/>
      <c r="AO116" s="312"/>
      <c r="AP116" s="312"/>
      <c r="AQ116" s="312"/>
      <c r="AR116" s="312"/>
      <c r="AS116" s="312"/>
      <c r="AT116" s="312"/>
      <c r="AU116" s="44"/>
    </row>
    <row r="117" spans="1:47" x14ac:dyDescent="0.3">
      <c r="B117" s="92"/>
      <c r="C117" s="93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93"/>
      <c r="X117" s="93"/>
      <c r="Y117" s="93"/>
      <c r="Z117" s="93"/>
      <c r="AA117" s="93"/>
      <c r="AB117" s="93"/>
      <c r="AC117" s="93"/>
      <c r="AD117" s="93"/>
      <c r="AE117" s="93"/>
      <c r="AF117" s="93"/>
      <c r="AG117" s="93"/>
      <c r="AH117" s="93"/>
      <c r="AI117" s="93"/>
      <c r="AK117" s="313"/>
      <c r="AL117" s="313"/>
      <c r="AM117" s="313"/>
      <c r="AN117" s="313"/>
      <c r="AO117" s="313"/>
      <c r="AP117" s="313"/>
      <c r="AQ117" s="313"/>
      <c r="AR117" s="314"/>
      <c r="AS117" s="314"/>
      <c r="AT117" s="274"/>
      <c r="AU117" s="44"/>
    </row>
    <row r="118" spans="1:47" x14ac:dyDescent="0.3">
      <c r="B118" s="91" t="s">
        <v>121</v>
      </c>
      <c r="C118" s="4">
        <f>C106</f>
        <v>-8360014.1385935172</v>
      </c>
      <c r="D118" s="4">
        <f t="shared" ref="D118:AT118" si="42">D106</f>
        <v>-34483054.24129875</v>
      </c>
      <c r="E118" s="4">
        <f t="shared" si="42"/>
        <v>-90904330.469175875</v>
      </c>
      <c r="F118" s="4">
        <f t="shared" si="42"/>
        <v>-36263698.223177493</v>
      </c>
      <c r="G118" s="4">
        <f t="shared" si="42"/>
        <v>-537851.39609510172</v>
      </c>
      <c r="H118" s="4">
        <f t="shared" si="42"/>
        <v>1723473.7136191688</v>
      </c>
      <c r="I118" s="4">
        <f t="shared" si="42"/>
        <v>919976.73631819524</v>
      </c>
      <c r="J118" s="4">
        <f t="shared" si="42"/>
        <v>903675.54672904033</v>
      </c>
      <c r="K118" s="4">
        <f t="shared" si="42"/>
        <v>-6708635.4619858377</v>
      </c>
      <c r="L118" s="4">
        <f t="shared" si="42"/>
        <v>1106048.6672808975</v>
      </c>
      <c r="M118" s="4">
        <f t="shared" si="42"/>
        <v>1342356.2183989249</v>
      </c>
      <c r="N118" s="4">
        <f t="shared" si="42"/>
        <v>1321690.7073518476</v>
      </c>
      <c r="O118" s="4">
        <f t="shared" si="42"/>
        <v>1573814.9753153035</v>
      </c>
      <c r="P118" s="4">
        <f t="shared" si="42"/>
        <v>-9840582.3161518592</v>
      </c>
      <c r="Q118" s="4">
        <f t="shared" si="42"/>
        <v>-1704258.9125166666</v>
      </c>
      <c r="R118" s="4">
        <f t="shared" si="42"/>
        <v>1796625.7950624125</v>
      </c>
      <c r="S118" s="4">
        <f t="shared" si="42"/>
        <v>2130337.8102395106</v>
      </c>
      <c r="T118" s="4">
        <f t="shared" si="42"/>
        <v>2148612.630568888</v>
      </c>
      <c r="U118" s="4">
        <f t="shared" si="42"/>
        <v>-10184826.270181403</v>
      </c>
      <c r="V118" s="4">
        <f t="shared" si="42"/>
        <v>-7368122.250577135</v>
      </c>
      <c r="W118" s="4">
        <f t="shared" si="42"/>
        <v>-1734584.1571196793</v>
      </c>
      <c r="X118" s="4">
        <f t="shared" si="42"/>
        <v>3016009.3271231912</v>
      </c>
      <c r="Y118" s="4">
        <f t="shared" si="42"/>
        <v>3524831.7902153609</v>
      </c>
      <c r="Z118" s="4">
        <f t="shared" si="42"/>
        <v>-6757211.3646380864</v>
      </c>
      <c r="AA118" s="4">
        <f t="shared" si="42"/>
        <v>725620.20772256749</v>
      </c>
      <c r="AB118" s="4">
        <f t="shared" si="42"/>
        <v>-81668.396920256317</v>
      </c>
      <c r="AC118" s="4">
        <f t="shared" si="42"/>
        <v>4591407.2689356431</v>
      </c>
      <c r="AD118" s="4">
        <f t="shared" si="42"/>
        <v>4409630.7095581545</v>
      </c>
      <c r="AE118" s="4">
        <f t="shared" si="42"/>
        <v>-6697110.1970497407</v>
      </c>
      <c r="AF118" s="4">
        <f t="shared" si="42"/>
        <v>4527799.9190476593</v>
      </c>
      <c r="AG118" s="4">
        <f t="shared" si="42"/>
        <v>4847524.2482870948</v>
      </c>
      <c r="AH118" s="4">
        <f t="shared" si="42"/>
        <v>4647361.6091608927</v>
      </c>
      <c r="AI118" s="4">
        <f t="shared" si="42"/>
        <v>4942615.9306575665</v>
      </c>
      <c r="AJ118" s="4">
        <f t="shared" si="42"/>
        <v>-7774780.0135885216</v>
      </c>
      <c r="AK118" s="315">
        <f t="shared" si="42"/>
        <v>5028627.2241698913</v>
      </c>
      <c r="AL118" s="315">
        <f t="shared" si="42"/>
        <v>-3876031.4492058279</v>
      </c>
      <c r="AM118" s="315">
        <f t="shared" si="42"/>
        <v>-14248338.510354867</v>
      </c>
      <c r="AN118" s="315">
        <f t="shared" si="42"/>
        <v>-2097909.3378318744</v>
      </c>
      <c r="AO118" s="315">
        <f t="shared" si="42"/>
        <v>-8402143.8961256854</v>
      </c>
      <c r="AP118" s="315">
        <f t="shared" si="42"/>
        <v>5136579.027077524</v>
      </c>
      <c r="AQ118" s="315">
        <f t="shared" si="42"/>
        <v>5455191.6002190793</v>
      </c>
      <c r="AR118" s="315">
        <f t="shared" si="42"/>
        <v>5260730.6545751859</v>
      </c>
      <c r="AS118" s="315">
        <f t="shared" si="42"/>
        <v>5544336.9020918133</v>
      </c>
      <c r="AT118" s="315">
        <f t="shared" si="42"/>
        <v>45154874.69395344</v>
      </c>
      <c r="AU118" s="44"/>
    </row>
    <row r="119" spans="1:47" x14ac:dyDescent="0.3">
      <c r="A119" s="44"/>
      <c r="B119" s="91" t="s">
        <v>241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  <c r="X119" s="44"/>
      <c r="Y119" s="44"/>
      <c r="Z119" s="44"/>
      <c r="AA119" s="44"/>
      <c r="AB119" s="44"/>
      <c r="AC119" s="44"/>
      <c r="AD119" s="44"/>
      <c r="AE119" s="44"/>
      <c r="AF119" s="44"/>
      <c r="AG119" s="44"/>
      <c r="AH119" s="44"/>
      <c r="AI119" s="44"/>
      <c r="AK119" s="273"/>
      <c r="AL119" s="274"/>
      <c r="AM119" s="274"/>
      <c r="AN119" s="274"/>
      <c r="AO119" s="274"/>
      <c r="AP119" s="274"/>
      <c r="AQ119" s="274"/>
      <c r="AR119" s="274"/>
      <c r="AS119" s="274"/>
      <c r="AT119" s="316">
        <f>NPV(C26,C118:AT118)</f>
        <v>-121761785.83282614</v>
      </c>
    </row>
    <row r="120" spans="1:47" x14ac:dyDescent="0.3">
      <c r="A120" s="44"/>
      <c r="B120" s="44"/>
      <c r="C120" s="32"/>
      <c r="D120" s="32"/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273"/>
      <c r="AL120" s="274"/>
      <c r="AM120" s="274"/>
      <c r="AN120" s="274"/>
      <c r="AO120" s="274"/>
      <c r="AP120" s="274"/>
      <c r="AQ120" s="274"/>
      <c r="AR120" s="274"/>
      <c r="AS120" s="274"/>
      <c r="AT120" s="274"/>
    </row>
    <row r="121" spans="1:47" x14ac:dyDescent="0.3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  <c r="P121" s="44"/>
      <c r="Q121" s="44"/>
      <c r="R121" s="44"/>
      <c r="S121" s="44"/>
      <c r="T121" s="44"/>
      <c r="U121" s="44"/>
      <c r="V121" s="44"/>
      <c r="W121" s="44"/>
      <c r="X121" s="44"/>
      <c r="Y121" s="44"/>
      <c r="Z121" s="44"/>
      <c r="AA121" s="44"/>
      <c r="AB121" s="44"/>
      <c r="AC121" s="44"/>
      <c r="AD121" s="44"/>
      <c r="AE121" s="44"/>
      <c r="AF121" s="44"/>
      <c r="AG121" s="44"/>
      <c r="AH121" s="44"/>
      <c r="AI121" s="44"/>
      <c r="AJ121" s="225"/>
      <c r="AK121" s="44"/>
    </row>
    <row r="122" spans="1:47" x14ac:dyDescent="0.3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</row>
    <row r="123" spans="1:47" x14ac:dyDescent="0.3">
      <c r="A123" s="44"/>
      <c r="B123" s="44"/>
      <c r="C123" s="32">
        <v>-15374793.702004252</v>
      </c>
      <c r="D123" s="32">
        <v>-32471752.923079427</v>
      </c>
      <c r="E123" s="32">
        <v>-62793043.621870533</v>
      </c>
      <c r="F123" s="32">
        <v>-31184167.865535051</v>
      </c>
      <c r="G123" s="32">
        <v>4461627.0876138387</v>
      </c>
      <c r="H123" s="32">
        <v>7085887.3224892067</v>
      </c>
      <c r="I123" s="32">
        <v>7506676.6422383776</v>
      </c>
      <c r="J123" s="32">
        <v>7866933.6835564012</v>
      </c>
      <c r="K123" s="32">
        <v>4138496.9480227539</v>
      </c>
      <c r="L123" s="32">
        <v>8621725.0100111552</v>
      </c>
      <c r="M123" s="32">
        <v>9016880.0393200647</v>
      </c>
      <c r="N123" s="32">
        <v>9408111.1130052563</v>
      </c>
      <c r="O123" s="32">
        <v>9811291.0381158479</v>
      </c>
      <c r="P123" s="32">
        <v>3028760.3722510524</v>
      </c>
      <c r="Q123" s="32">
        <v>6759476.3316930179</v>
      </c>
      <c r="R123" s="32">
        <v>11095752.577078201</v>
      </c>
      <c r="S123" s="32">
        <v>11666827.927642517</v>
      </c>
      <c r="T123" s="32">
        <v>12256200.784473658</v>
      </c>
      <c r="U123" s="32">
        <v>5145482.9160697088</v>
      </c>
      <c r="V123" s="32">
        <v>4835774.0456957947</v>
      </c>
      <c r="W123" s="32">
        <v>9963796.0466147065</v>
      </c>
      <c r="X123" s="32">
        <v>14965506.412886936</v>
      </c>
      <c r="Y123" s="32">
        <v>15819114.660764625</v>
      </c>
      <c r="Z123" s="32">
        <v>11262213.876171863</v>
      </c>
      <c r="AA123" s="32">
        <v>14269356.723393489</v>
      </c>
      <c r="AB123" s="32">
        <v>13717569.790471114</v>
      </c>
      <c r="AC123" s="32">
        <v>18902277.061604355</v>
      </c>
      <c r="AD123" s="32">
        <v>19259777.254964769</v>
      </c>
      <c r="AE123" s="32">
        <v>13648271.158759808</v>
      </c>
      <c r="AF123" s="32">
        <v>19994678.368752308</v>
      </c>
      <c r="AG123" s="32">
        <v>20372314.83298843</v>
      </c>
      <c r="AH123" s="32">
        <v>20756902.165421762</v>
      </c>
      <c r="AI123" s="32">
        <v>21148563.030060068</v>
      </c>
      <c r="AJ123" s="32">
        <v>14981724.136930339</v>
      </c>
      <c r="AK123" s="44"/>
    </row>
    <row r="124" spans="1:47" x14ac:dyDescent="0.3">
      <c r="A124" s="44"/>
      <c r="B124" s="44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44"/>
    </row>
    <row r="125" spans="1:47" x14ac:dyDescent="0.3">
      <c r="A125" s="44"/>
      <c r="B125" s="44"/>
      <c r="C125" s="32">
        <f>C123-C103</f>
        <v>-7014779.5634107348</v>
      </c>
      <c r="D125" s="32">
        <f t="shared" ref="D125:AJ125" si="43">D123-D103</f>
        <v>2011301.3182193227</v>
      </c>
      <c r="E125" s="32">
        <f t="shared" si="43"/>
        <v>28111286.847305343</v>
      </c>
      <c r="F125" s="32">
        <f t="shared" si="43"/>
        <v>5079530.357642442</v>
      </c>
      <c r="G125" s="32">
        <f t="shared" si="43"/>
        <v>4999478.4837089404</v>
      </c>
      <c r="H125" s="32">
        <f t="shared" si="43"/>
        <v>5362413.6088700378</v>
      </c>
      <c r="I125" s="32">
        <f t="shared" si="43"/>
        <v>6586699.9059201824</v>
      </c>
      <c r="J125" s="32">
        <f t="shared" si="43"/>
        <v>6963258.1368273608</v>
      </c>
      <c r="K125" s="32">
        <f t="shared" si="43"/>
        <v>10847132.410008591</v>
      </c>
      <c r="L125" s="32">
        <f t="shared" si="43"/>
        <v>7515676.3427302577</v>
      </c>
      <c r="M125" s="32">
        <f t="shared" si="43"/>
        <v>7674523.8209211398</v>
      </c>
      <c r="N125" s="32">
        <f t="shared" si="43"/>
        <v>8086420.4056534087</v>
      </c>
      <c r="O125" s="32">
        <f t="shared" si="43"/>
        <v>8237476.0628005443</v>
      </c>
      <c r="P125" s="32">
        <f t="shared" si="43"/>
        <v>12869342.688402912</v>
      </c>
      <c r="Q125" s="32">
        <f t="shared" si="43"/>
        <v>8463735.2442096844</v>
      </c>
      <c r="R125" s="32">
        <f t="shared" si="43"/>
        <v>9299126.7820157893</v>
      </c>
      <c r="S125" s="32">
        <f t="shared" si="43"/>
        <v>9536490.1174030062</v>
      </c>
      <c r="T125" s="32">
        <f t="shared" si="43"/>
        <v>10107588.15390477</v>
      </c>
      <c r="U125" s="32">
        <f t="shared" si="43"/>
        <v>15330309.186251111</v>
      </c>
      <c r="V125" s="32">
        <f t="shared" si="43"/>
        <v>12203896.29627293</v>
      </c>
      <c r="W125" s="32">
        <f t="shared" si="43"/>
        <v>11698380.203734387</v>
      </c>
      <c r="X125" s="32">
        <f t="shared" si="43"/>
        <v>11949497.085763745</v>
      </c>
      <c r="Y125" s="32">
        <f t="shared" si="43"/>
        <v>12294282.870549265</v>
      </c>
      <c r="Z125" s="32">
        <f t="shared" si="43"/>
        <v>18019425.240809947</v>
      </c>
      <c r="AA125" s="32">
        <f t="shared" si="43"/>
        <v>13543736.515670922</v>
      </c>
      <c r="AB125" s="32">
        <f t="shared" si="43"/>
        <v>13799238.187391371</v>
      </c>
      <c r="AC125" s="32">
        <f t="shared" si="43"/>
        <v>14310869.792668711</v>
      </c>
      <c r="AD125" s="32">
        <f t="shared" si="43"/>
        <v>14850146.545406613</v>
      </c>
      <c r="AE125" s="32">
        <f t="shared" si="43"/>
        <v>20345381.355809547</v>
      </c>
      <c r="AF125" s="32">
        <f t="shared" si="43"/>
        <v>15466878.449704649</v>
      </c>
      <c r="AG125" s="32">
        <f t="shared" si="43"/>
        <v>15524790.584701335</v>
      </c>
      <c r="AH125" s="32">
        <f t="shared" si="43"/>
        <v>16109540.556260869</v>
      </c>
      <c r="AI125" s="32">
        <f t="shared" si="43"/>
        <v>16205947.099402502</v>
      </c>
      <c r="AJ125" s="32">
        <f t="shared" si="43"/>
        <v>-41611500.888907187</v>
      </c>
      <c r="AK125" s="44"/>
    </row>
    <row r="126" spans="1:47" x14ac:dyDescent="0.3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  <c r="P126" s="44"/>
      <c r="Q126" s="44"/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</row>
  </sheetData>
  <sheetProtection algorithmName="SHA-512" hashValue="fThsAIByfcQvW0t7eFtvnNmvS6CqOXbdjrNRBJ7Sowc1AdHdHu++DWyl69+SoZ1ZDk0iUzW+rniHs4q7MkTrfg==" saltValue="Jpp004/lLiAAnq6+7KMDCQ==" spinCount="100000" sheet="1" objects="1" scenarios="1"/>
  <mergeCells count="2">
    <mergeCell ref="B4:B7"/>
    <mergeCell ref="C35:I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/>
  <dimension ref="A2:CB326"/>
  <sheetViews>
    <sheetView topLeftCell="A34" zoomScale="70" zoomScaleNormal="70" workbookViewId="0">
      <selection activeCell="F73" sqref="F73"/>
    </sheetView>
  </sheetViews>
  <sheetFormatPr baseColWidth="10" defaultRowHeight="14.4" x14ac:dyDescent="0.3"/>
  <cols>
    <col min="1" max="2" width="3.5546875" style="44" customWidth="1"/>
    <col min="3" max="3" width="71.44140625" bestFit="1" customWidth="1"/>
    <col min="4" max="4" width="21" customWidth="1"/>
    <col min="5" max="5" width="21.109375" customWidth="1"/>
    <col min="6" max="6" width="34.5546875" bestFit="1" customWidth="1"/>
    <col min="7" max="7" width="28.6640625" bestFit="1" customWidth="1"/>
    <col min="8" max="8" width="34.6640625" bestFit="1" customWidth="1"/>
    <col min="9" max="9" width="18.44140625" bestFit="1" customWidth="1"/>
    <col min="10" max="10" width="26.5546875" bestFit="1" customWidth="1"/>
    <col min="11" max="11" width="17.33203125" bestFit="1" customWidth="1"/>
    <col min="12" max="12" width="17.33203125" customWidth="1"/>
    <col min="13" max="16" width="17.33203125" bestFit="1" customWidth="1"/>
    <col min="17" max="17" width="17.88671875" bestFit="1" customWidth="1"/>
    <col min="18" max="19" width="17.44140625" bestFit="1" customWidth="1"/>
    <col min="20" max="20" width="17.109375" bestFit="1" customWidth="1"/>
    <col min="21" max="21" width="17.88671875" bestFit="1" customWidth="1"/>
    <col min="22" max="22" width="17.44140625" bestFit="1" customWidth="1"/>
    <col min="23" max="24" width="16.44140625" bestFit="1" customWidth="1"/>
    <col min="25" max="25" width="17.5546875" bestFit="1" customWidth="1"/>
    <col min="26" max="27" width="16.44140625" bestFit="1" customWidth="1"/>
    <col min="28" max="28" width="16.5546875" bestFit="1" customWidth="1"/>
    <col min="29" max="29" width="16.44140625" bestFit="1" customWidth="1"/>
    <col min="30" max="30" width="16.109375" bestFit="1" customWidth="1"/>
    <col min="31" max="31" width="16.44140625" bestFit="1" customWidth="1"/>
    <col min="32" max="32" width="17.5546875" bestFit="1" customWidth="1"/>
    <col min="33" max="38" width="16.44140625" bestFit="1" customWidth="1"/>
    <col min="39" max="39" width="18" bestFit="1" customWidth="1"/>
  </cols>
  <sheetData>
    <row r="2" spans="3:80" x14ac:dyDescent="0.3">
      <c r="C2" s="475" t="s">
        <v>222</v>
      </c>
      <c r="D2" s="245" t="s">
        <v>223</v>
      </c>
    </row>
    <row r="3" spans="3:80" x14ac:dyDescent="0.3">
      <c r="C3" s="476"/>
      <c r="D3" s="7" t="s">
        <v>224</v>
      </c>
    </row>
    <row r="4" spans="3:80" x14ac:dyDescent="0.3">
      <c r="C4" s="476"/>
      <c r="D4" s="8" t="s">
        <v>3</v>
      </c>
    </row>
    <row r="5" spans="3:80" x14ac:dyDescent="0.3">
      <c r="C5" s="477"/>
      <c r="D5" s="9" t="s">
        <v>225</v>
      </c>
    </row>
    <row r="6" spans="3:80" ht="15" thickBot="1" x14ac:dyDescent="0.35"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</row>
    <row r="7" spans="3:80" ht="21.6" thickBot="1" x14ac:dyDescent="0.45">
      <c r="C7" s="231" t="s">
        <v>226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34"/>
      <c r="AD7" s="235"/>
      <c r="AE7" s="235"/>
      <c r="AF7" s="235"/>
      <c r="AG7" s="235"/>
      <c r="AH7" s="235"/>
      <c r="AI7" s="235"/>
      <c r="AJ7" s="235"/>
      <c r="AK7" s="235"/>
      <c r="AL7" s="235"/>
      <c r="AM7" s="236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</row>
    <row r="8" spans="3:80" x14ac:dyDescent="0.3"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</row>
    <row r="9" spans="3:80" x14ac:dyDescent="0.3">
      <c r="C9" s="322" t="s">
        <v>128</v>
      </c>
      <c r="D9" s="317">
        <f>E313</f>
        <v>1.6999999999966195</v>
      </c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</row>
    <row r="10" spans="3:80" x14ac:dyDescent="0.3">
      <c r="C10" s="323"/>
      <c r="D10" s="318">
        <f>E315</f>
        <v>45291</v>
      </c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4"/>
      <c r="BZ10" s="44"/>
      <c r="CA10" s="44"/>
      <c r="CB10" s="44"/>
    </row>
    <row r="11" spans="3:80" x14ac:dyDescent="0.3">
      <c r="C11" s="323" t="s">
        <v>129</v>
      </c>
      <c r="D11" s="442">
        <f>E296</f>
        <v>117694.50811212287</v>
      </c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</row>
    <row r="12" spans="3:80" x14ac:dyDescent="0.3">
      <c r="C12" s="323"/>
      <c r="D12" s="319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</row>
    <row r="13" spans="3:80" x14ac:dyDescent="0.3">
      <c r="C13" s="323" t="s">
        <v>132</v>
      </c>
      <c r="D13" s="320">
        <f>E255</f>
        <v>-121942375.66610985</v>
      </c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</row>
    <row r="14" spans="3:80" x14ac:dyDescent="0.3">
      <c r="C14" s="323" t="s">
        <v>133</v>
      </c>
      <c r="D14" s="321">
        <f>E257</f>
        <v>-0.11948667916206979</v>
      </c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</row>
    <row r="15" spans="3:80" x14ac:dyDescent="0.3">
      <c r="C15" s="323"/>
      <c r="D15" s="321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</row>
    <row r="16" spans="3:80" x14ac:dyDescent="0.3">
      <c r="C16" s="323" t="s">
        <v>287</v>
      </c>
      <c r="D16" s="319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</row>
    <row r="17" spans="3:80" x14ac:dyDescent="0.3">
      <c r="C17" s="324" t="s">
        <v>134</v>
      </c>
      <c r="D17" s="320" t="str">
        <f>IF(E58&lt;0.01,"N/A",E272)</f>
        <v>N/A</v>
      </c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</row>
    <row r="18" spans="3:80" x14ac:dyDescent="0.3">
      <c r="C18" s="323" t="s">
        <v>135</v>
      </c>
      <c r="D18" s="470" t="str">
        <f>IF(E58&lt;0.01,"N/A",E274)</f>
        <v>N/A</v>
      </c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4"/>
    </row>
    <row r="19" spans="3:80" x14ac:dyDescent="0.3">
      <c r="C19" s="325" t="s">
        <v>245</v>
      </c>
      <c r="D19" s="471" t="str">
        <f>IF(E58&lt;0.01,"N/A",E59)</f>
        <v>N/A</v>
      </c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</row>
    <row r="20" spans="3:80" x14ac:dyDescent="0.3"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</row>
    <row r="21" spans="3:80" ht="21" x14ac:dyDescent="0.4">
      <c r="C21" s="439" t="s">
        <v>291</v>
      </c>
      <c r="D21" s="440" t="str">
        <f>IF(MIN(F232:AM232)&lt;0,"NOK","OK")</f>
        <v>OK</v>
      </c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</row>
    <row r="22" spans="3:80" ht="21" x14ac:dyDescent="0.4">
      <c r="C22" s="439" t="s">
        <v>354</v>
      </c>
      <c r="D22" s="440" t="str">
        <f>IF(I232&gt;J220,"OK","NOK")</f>
        <v>OK</v>
      </c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4"/>
    </row>
    <row r="23" spans="3:80" ht="15" thickBot="1" x14ac:dyDescent="0.35"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</row>
    <row r="24" spans="3:80" ht="21.6" thickBot="1" x14ac:dyDescent="0.45">
      <c r="C24" s="231" t="s">
        <v>246</v>
      </c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2"/>
      <c r="Z24" s="232"/>
      <c r="AA24" s="232"/>
      <c r="AB24" s="234"/>
      <c r="AC24" s="234"/>
      <c r="AD24" s="235"/>
      <c r="AE24" s="235"/>
      <c r="AF24" s="235"/>
      <c r="AG24" s="235"/>
      <c r="AH24" s="235"/>
      <c r="AI24" s="235"/>
      <c r="AJ24" s="235"/>
      <c r="AK24" s="235"/>
      <c r="AL24" s="235"/>
      <c r="AM24" s="236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</row>
    <row r="25" spans="3:80" x14ac:dyDescent="0.3">
      <c r="J25" s="2"/>
      <c r="K25" s="2"/>
      <c r="L25" s="2"/>
      <c r="M25" s="2"/>
      <c r="N25" s="2"/>
      <c r="O25" s="2"/>
      <c r="P25" s="2"/>
      <c r="Q25" s="98"/>
      <c r="R25" s="99"/>
      <c r="S25" s="100"/>
      <c r="T25" s="2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</row>
    <row r="26" spans="3:80" x14ac:dyDescent="0.3">
      <c r="C26" s="186" t="s">
        <v>218</v>
      </c>
      <c r="D26" s="2" t="s">
        <v>217</v>
      </c>
      <c r="E26" s="233">
        <f>'Global Financial Model'!C11</f>
        <v>164199233.95965779</v>
      </c>
      <c r="G26" s="102" t="s">
        <v>127</v>
      </c>
      <c r="J26" s="2"/>
      <c r="K26" s="2"/>
      <c r="L26" s="2"/>
      <c r="M26" s="2"/>
      <c r="N26" s="2"/>
      <c r="O26" s="2"/>
      <c r="P26" s="2"/>
      <c r="Q26" s="98"/>
      <c r="R26" s="99"/>
      <c r="S26" s="100"/>
      <c r="T26" s="2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</row>
    <row r="27" spans="3:80" x14ac:dyDescent="0.3">
      <c r="C27" s="376" t="s">
        <v>288</v>
      </c>
      <c r="D27" s="2" t="s">
        <v>217</v>
      </c>
      <c r="E27" s="443">
        <v>400000</v>
      </c>
      <c r="J27" s="2"/>
      <c r="K27" s="2"/>
      <c r="L27" s="2"/>
      <c r="M27" s="2"/>
      <c r="N27" s="2"/>
      <c r="O27" s="2"/>
      <c r="P27" s="2"/>
      <c r="Q27" s="98"/>
      <c r="R27" s="99"/>
      <c r="S27" s="100"/>
      <c r="T27" s="2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</row>
    <row r="28" spans="3:80" x14ac:dyDescent="0.3">
      <c r="C28" s="47" t="s">
        <v>212</v>
      </c>
      <c r="D28" s="47" t="s">
        <v>136</v>
      </c>
      <c r="E28" s="444">
        <v>1</v>
      </c>
      <c r="F28" s="47" t="s">
        <v>242</v>
      </c>
      <c r="J28" s="2"/>
      <c r="K28" s="2"/>
      <c r="L28" s="2"/>
      <c r="M28" s="2"/>
      <c r="N28" s="2"/>
      <c r="O28" s="2"/>
      <c r="P28" s="2"/>
      <c r="Q28" s="98"/>
      <c r="R28" s="99"/>
      <c r="S28" s="100"/>
      <c r="T28" s="2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4"/>
    </row>
    <row r="29" spans="3:80" x14ac:dyDescent="0.3">
      <c r="C29" s="44" t="s">
        <v>148</v>
      </c>
      <c r="D29" s="127" t="s">
        <v>136</v>
      </c>
      <c r="E29" s="142">
        <f>'Global Financial Model'!C26</f>
        <v>0.13</v>
      </c>
      <c r="J29" s="2"/>
      <c r="K29" s="2"/>
      <c r="L29" s="2"/>
      <c r="M29" s="2"/>
      <c r="N29" s="2"/>
      <c r="O29" s="2"/>
      <c r="P29" s="2"/>
      <c r="Q29" s="98"/>
      <c r="R29" s="99"/>
      <c r="S29" s="100"/>
      <c r="T29" s="2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</row>
    <row r="30" spans="3:80" x14ac:dyDescent="0.3">
      <c r="F30" s="2"/>
      <c r="J30" s="2"/>
      <c r="K30" s="2"/>
      <c r="L30" s="2"/>
      <c r="M30" s="2"/>
      <c r="N30" s="2"/>
      <c r="O30" s="2"/>
      <c r="P30" s="2"/>
      <c r="Q30" s="98"/>
      <c r="R30" s="99"/>
      <c r="S30" s="100"/>
      <c r="T30" s="2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</row>
    <row r="31" spans="3:80" x14ac:dyDescent="0.3">
      <c r="E31" s="145">
        <v>2015</v>
      </c>
      <c r="F31" s="145">
        <v>2016</v>
      </c>
      <c r="G31" s="145">
        <v>2017</v>
      </c>
      <c r="H31" s="145">
        <v>2018</v>
      </c>
      <c r="I31" s="145">
        <v>2019</v>
      </c>
      <c r="J31" s="145">
        <v>2020</v>
      </c>
      <c r="K31" s="145">
        <v>2021</v>
      </c>
      <c r="L31" s="145">
        <v>2022</v>
      </c>
      <c r="M31" s="145">
        <v>2023</v>
      </c>
      <c r="N31" s="145">
        <v>2024</v>
      </c>
      <c r="O31" s="145">
        <v>2025</v>
      </c>
      <c r="P31" s="145">
        <v>2026</v>
      </c>
      <c r="Q31" s="145">
        <v>2027</v>
      </c>
      <c r="R31" s="145">
        <v>2028</v>
      </c>
      <c r="S31" s="145">
        <v>2029</v>
      </c>
      <c r="T31" s="145">
        <v>2030</v>
      </c>
      <c r="U31" s="145">
        <v>2031</v>
      </c>
      <c r="V31" s="145">
        <v>2032</v>
      </c>
      <c r="W31" s="145">
        <v>2033</v>
      </c>
      <c r="X31" s="145">
        <v>2034</v>
      </c>
      <c r="Y31" s="145">
        <v>2035</v>
      </c>
      <c r="Z31" s="145">
        <v>2036</v>
      </c>
      <c r="AA31" s="145">
        <v>2037</v>
      </c>
      <c r="AB31" s="145">
        <v>2038</v>
      </c>
      <c r="AC31" s="145">
        <v>2039</v>
      </c>
      <c r="AD31" s="145">
        <v>2040</v>
      </c>
      <c r="AE31" s="145">
        <v>2041</v>
      </c>
      <c r="AF31" s="145">
        <v>2042</v>
      </c>
      <c r="AG31" s="145">
        <v>2043</v>
      </c>
      <c r="AH31" s="145">
        <v>2044</v>
      </c>
      <c r="AI31" s="145">
        <v>2045</v>
      </c>
      <c r="AJ31" s="145">
        <v>2046</v>
      </c>
      <c r="AK31" s="145">
        <v>2047</v>
      </c>
      <c r="AL31" s="145">
        <v>2048</v>
      </c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</row>
    <row r="32" spans="3:80" x14ac:dyDescent="0.3">
      <c r="C32" t="s">
        <v>150</v>
      </c>
      <c r="D32" s="157" t="s">
        <v>136</v>
      </c>
      <c r="E32" s="445">
        <v>2.5499999999999998E-2</v>
      </c>
      <c r="F32" s="445">
        <v>2.5000000000000001E-2</v>
      </c>
      <c r="G32" s="445">
        <v>2.5000000000000001E-2</v>
      </c>
      <c r="H32" s="445">
        <v>2.5000000000000001E-2</v>
      </c>
      <c r="I32" s="445">
        <v>2.5000000000000001E-2</v>
      </c>
      <c r="J32" s="445">
        <v>0.02</v>
      </c>
      <c r="K32" s="445">
        <v>0.02</v>
      </c>
      <c r="L32" s="445">
        <v>0.02</v>
      </c>
      <c r="M32" s="445">
        <v>0.02</v>
      </c>
      <c r="N32" s="445">
        <v>0.02</v>
      </c>
      <c r="O32" s="445">
        <v>0.02</v>
      </c>
      <c r="P32" s="445">
        <v>0.02</v>
      </c>
      <c r="Q32" s="445">
        <v>0.02</v>
      </c>
      <c r="R32" s="445">
        <v>0.02</v>
      </c>
      <c r="S32" s="445">
        <v>0.02</v>
      </c>
      <c r="T32" s="445">
        <v>0.02</v>
      </c>
      <c r="U32" s="445">
        <v>0.02</v>
      </c>
      <c r="V32" s="445">
        <v>0.02</v>
      </c>
      <c r="W32" s="445">
        <v>0.02</v>
      </c>
      <c r="X32" s="445">
        <v>0.02</v>
      </c>
      <c r="Y32" s="445">
        <v>0.02</v>
      </c>
      <c r="Z32" s="445">
        <v>0.02</v>
      </c>
      <c r="AA32" s="445">
        <v>0.02</v>
      </c>
      <c r="AB32" s="445">
        <v>0.02</v>
      </c>
      <c r="AC32" s="445">
        <v>0.02</v>
      </c>
      <c r="AD32" s="445">
        <v>0.02</v>
      </c>
      <c r="AE32" s="445">
        <v>0.02</v>
      </c>
      <c r="AF32" s="445">
        <v>0.02</v>
      </c>
      <c r="AG32" s="445">
        <v>0.02</v>
      </c>
      <c r="AH32" s="445">
        <v>0.02</v>
      </c>
      <c r="AI32" s="445">
        <v>0.02</v>
      </c>
      <c r="AJ32" s="445">
        <v>0.02</v>
      </c>
      <c r="AK32" s="445">
        <v>0.02</v>
      </c>
      <c r="AL32" s="445">
        <v>0.02</v>
      </c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4"/>
    </row>
    <row r="33" spans="3:80" x14ac:dyDescent="0.3">
      <c r="C33" s="44"/>
      <c r="D33" s="127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</row>
    <row r="34" spans="3:80" ht="15" thickBot="1" x14ac:dyDescent="0.35">
      <c r="C34" s="44"/>
      <c r="D34" s="127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4"/>
    </row>
    <row r="35" spans="3:80" ht="22.2" thickBot="1" x14ac:dyDescent="0.45">
      <c r="C35" s="137" t="s">
        <v>137</v>
      </c>
      <c r="D35" s="138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135"/>
      <c r="AH35" s="135"/>
      <c r="AI35" s="135"/>
      <c r="AJ35" s="135"/>
      <c r="AK35" s="135"/>
      <c r="AL35" s="135"/>
      <c r="AM35" s="136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</row>
    <row r="36" spans="3:80" s="44" customFormat="1" ht="21.6" x14ac:dyDescent="0.4">
      <c r="C36" s="139"/>
      <c r="D36" s="128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</row>
    <row r="37" spans="3:80" x14ac:dyDescent="0.3">
      <c r="C37" t="s">
        <v>302</v>
      </c>
      <c r="D37" s="157" t="s">
        <v>214</v>
      </c>
      <c r="E37" s="160">
        <f>$E$59*E26*E58</f>
        <v>164.19923395965782</v>
      </c>
      <c r="F37" s="2"/>
      <c r="G37" s="2"/>
      <c r="H37" s="2"/>
      <c r="I37" s="2"/>
      <c r="J37" s="2"/>
      <c r="M37" s="2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</row>
    <row r="38" spans="3:80" x14ac:dyDescent="0.3">
      <c r="C38" t="s">
        <v>300</v>
      </c>
      <c r="D38" s="103" t="s">
        <v>138</v>
      </c>
      <c r="E38" s="143">
        <f>DATE(YEAR(E73)+1,12,31)</f>
        <v>43830</v>
      </c>
      <c r="F38" s="144"/>
      <c r="G38" s="2"/>
      <c r="H38" s="2"/>
      <c r="I38" s="2"/>
      <c r="J38" s="2"/>
      <c r="M38" s="2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</row>
    <row r="39" spans="3:80" x14ac:dyDescent="0.3">
      <c r="C39" t="s">
        <v>139</v>
      </c>
      <c r="D39" s="103" t="s">
        <v>140</v>
      </c>
      <c r="E39" s="446">
        <v>15</v>
      </c>
      <c r="F39" s="2"/>
      <c r="G39" s="2" t="s">
        <v>141</v>
      </c>
      <c r="H39" s="2"/>
      <c r="I39" s="118">
        <f>+D191</f>
        <v>16</v>
      </c>
      <c r="J39" s="2" t="s">
        <v>142</v>
      </c>
      <c r="M39" s="2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4"/>
    </row>
    <row r="40" spans="3:80" x14ac:dyDescent="0.3">
      <c r="C40" t="s">
        <v>308</v>
      </c>
      <c r="D40" s="103" t="s">
        <v>138</v>
      </c>
      <c r="E40" s="143">
        <f>DATE(YEAR(E38)+E39,12,31)</f>
        <v>49309</v>
      </c>
      <c r="F40" s="2"/>
      <c r="G40" s="2"/>
      <c r="H40" s="2"/>
      <c r="I40" s="2"/>
      <c r="J40" s="2"/>
      <c r="M40" s="2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</row>
    <row r="41" spans="3:80" x14ac:dyDescent="0.3">
      <c r="F41" s="2"/>
      <c r="G41" s="2"/>
      <c r="H41" s="2"/>
      <c r="I41" s="2"/>
      <c r="J41" s="2"/>
      <c r="M41" s="2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</row>
    <row r="42" spans="3:80" x14ac:dyDescent="0.3">
      <c r="C42" s="376"/>
      <c r="D42" s="103"/>
      <c r="E42" s="143"/>
      <c r="F42" s="2"/>
      <c r="G42" s="2"/>
      <c r="H42" s="2"/>
      <c r="I42" s="2"/>
      <c r="J42" s="2"/>
      <c r="M42" s="2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</row>
    <row r="43" spans="3:80" x14ac:dyDescent="0.3">
      <c r="C43" s="376" t="s">
        <v>303</v>
      </c>
      <c r="D43" s="157" t="s">
        <v>214</v>
      </c>
      <c r="E43" s="160">
        <f>E26*H58</f>
        <v>164197591.96731821</v>
      </c>
      <c r="F43" s="2"/>
      <c r="G43" s="2"/>
      <c r="H43" s="2"/>
      <c r="I43" s="2"/>
      <c r="J43" s="2"/>
      <c r="M43" s="2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</row>
    <row r="44" spans="3:80" x14ac:dyDescent="0.3">
      <c r="C44" s="376" t="s">
        <v>301</v>
      </c>
      <c r="D44" s="157" t="s">
        <v>138</v>
      </c>
      <c r="E44" s="143">
        <f>DATE(YEAR(E71)+1,12,31)</f>
        <v>42735</v>
      </c>
      <c r="F44" s="2"/>
      <c r="G44" s="2"/>
      <c r="H44" s="2"/>
      <c r="I44" s="2"/>
      <c r="J44" s="2"/>
      <c r="M44" s="2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</row>
    <row r="45" spans="3:80" x14ac:dyDescent="0.3">
      <c r="C45" s="376" t="s">
        <v>139</v>
      </c>
      <c r="D45" s="157" t="s">
        <v>140</v>
      </c>
      <c r="E45" s="446">
        <v>15</v>
      </c>
      <c r="F45" s="2"/>
      <c r="G45" s="2" t="s">
        <v>141</v>
      </c>
      <c r="H45" s="2"/>
      <c r="I45" s="118">
        <f>+D188</f>
        <v>16</v>
      </c>
      <c r="J45" s="2" t="s">
        <v>142</v>
      </c>
      <c r="M45" s="2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</row>
    <row r="46" spans="3:80" x14ac:dyDescent="0.3">
      <c r="C46" s="376" t="s">
        <v>309</v>
      </c>
      <c r="D46" s="103" t="s">
        <v>138</v>
      </c>
      <c r="E46" s="143">
        <f>DATE(YEAR(E44)+E45,12,31)</f>
        <v>48213</v>
      </c>
      <c r="F46" s="2"/>
      <c r="G46" s="2"/>
      <c r="H46" s="2"/>
      <c r="I46" s="2"/>
      <c r="J46" s="2"/>
      <c r="M46" s="2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</row>
    <row r="47" spans="3:80" x14ac:dyDescent="0.3">
      <c r="D47" s="103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</row>
    <row r="48" spans="3:80" x14ac:dyDescent="0.3">
      <c r="D48" s="103"/>
      <c r="E48" s="146" t="s">
        <v>143</v>
      </c>
      <c r="F48" s="146">
        <v>1</v>
      </c>
      <c r="G48" s="146">
        <v>2</v>
      </c>
      <c r="H48" s="146">
        <v>3</v>
      </c>
      <c r="I48" s="147">
        <v>4</v>
      </c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</row>
    <row r="49" spans="3:80" x14ac:dyDescent="0.3">
      <c r="C49" t="s">
        <v>279</v>
      </c>
      <c r="D49" s="103" t="s">
        <v>144</v>
      </c>
      <c r="E49" s="445">
        <f>0.07-E65</f>
        <v>3.6700000000000003E-2</v>
      </c>
      <c r="F49" s="445">
        <f t="shared" ref="F49:I49" si="0">0.07-F65</f>
        <v>3.6700000000000003E-2</v>
      </c>
      <c r="G49" s="445">
        <f t="shared" si="0"/>
        <v>3.6700000000000003E-2</v>
      </c>
      <c r="H49" s="445">
        <f t="shared" si="0"/>
        <v>3.6700000000000003E-2</v>
      </c>
      <c r="I49" s="445">
        <f t="shared" si="0"/>
        <v>3.6700000000000003E-2</v>
      </c>
      <c r="K49" s="182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4"/>
    </row>
    <row r="50" spans="3:80" x14ac:dyDescent="0.3">
      <c r="C50" s="376" t="s">
        <v>314</v>
      </c>
      <c r="D50" s="103"/>
      <c r="E50" s="445">
        <f>E49</f>
        <v>3.6700000000000003E-2</v>
      </c>
      <c r="F50" s="445">
        <f t="shared" ref="F50:I50" si="1">F49</f>
        <v>3.6700000000000003E-2</v>
      </c>
      <c r="G50" s="445">
        <f t="shared" si="1"/>
        <v>3.6700000000000003E-2</v>
      </c>
      <c r="H50" s="445">
        <f t="shared" si="1"/>
        <v>3.6700000000000003E-2</v>
      </c>
      <c r="I50" s="445">
        <f t="shared" si="1"/>
        <v>3.6700000000000003E-2</v>
      </c>
      <c r="K50" s="182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</row>
    <row r="51" spans="3:80" x14ac:dyDescent="0.3">
      <c r="D51" s="103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</row>
    <row r="52" spans="3:80" x14ac:dyDescent="0.3">
      <c r="C52" t="s">
        <v>145</v>
      </c>
      <c r="D52" s="103" t="s">
        <v>136</v>
      </c>
      <c r="E52" s="447">
        <v>0.01</v>
      </c>
      <c r="F52" s="2"/>
      <c r="G52" s="2"/>
      <c r="H52" s="2"/>
      <c r="I52" s="2"/>
      <c r="J52" s="2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</row>
    <row r="53" spans="3:80" x14ac:dyDescent="0.3">
      <c r="C53" t="s">
        <v>310</v>
      </c>
      <c r="D53" s="157" t="s">
        <v>214</v>
      </c>
      <c r="E53" s="140">
        <f>E52*E37</f>
        <v>1.6419923395965783</v>
      </c>
      <c r="F53" s="2"/>
      <c r="G53" s="2"/>
      <c r="H53" s="2"/>
      <c r="I53" s="2"/>
      <c r="J53" s="2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4"/>
    </row>
    <row r="54" spans="3:80" x14ac:dyDescent="0.3">
      <c r="C54" s="376" t="s">
        <v>311</v>
      </c>
      <c r="D54" s="157" t="s">
        <v>214</v>
      </c>
      <c r="E54" s="140">
        <f>E52*E43</f>
        <v>1641975.9196731821</v>
      </c>
      <c r="F54" s="2"/>
      <c r="G54" s="2"/>
      <c r="H54" s="2"/>
      <c r="I54" s="2"/>
      <c r="J54" s="2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</row>
    <row r="55" spans="3:80" x14ac:dyDescent="0.3">
      <c r="D55" s="103"/>
      <c r="E55" s="2"/>
      <c r="F55" s="2"/>
      <c r="G55" s="2"/>
      <c r="H55" s="2"/>
      <c r="I55" s="2"/>
      <c r="J55" s="2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4"/>
    </row>
    <row r="56" spans="3:80" x14ac:dyDescent="0.3">
      <c r="C56" s="54" t="s">
        <v>312</v>
      </c>
      <c r="D56" s="103"/>
      <c r="H56" s="2"/>
      <c r="I56" s="2"/>
      <c r="J56" s="2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4"/>
    </row>
    <row r="57" spans="3:80" x14ac:dyDescent="0.3">
      <c r="C57" s="54" t="s">
        <v>326</v>
      </c>
      <c r="D57" s="103"/>
      <c r="E57" s="448" t="s">
        <v>146</v>
      </c>
      <c r="F57" s="141">
        <f>IF($E$57="NO",0,1)</f>
        <v>1</v>
      </c>
      <c r="G57" s="2" t="s">
        <v>147</v>
      </c>
      <c r="H57" s="2"/>
      <c r="I57" s="2"/>
      <c r="J57" s="2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</row>
    <row r="58" spans="3:80" x14ac:dyDescent="0.3">
      <c r="C58" s="54" t="s">
        <v>327</v>
      </c>
      <c r="D58" s="103"/>
      <c r="E58" s="449">
        <v>1.0000000000000001E-5</v>
      </c>
      <c r="F58" s="141"/>
      <c r="G58" s="2" t="s">
        <v>285</v>
      </c>
      <c r="H58" s="397">
        <f>1-E58</f>
        <v>0.99999000000000005</v>
      </c>
      <c r="I58" s="2"/>
      <c r="J58" s="2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4"/>
    </row>
    <row r="59" spans="3:80" x14ac:dyDescent="0.3">
      <c r="C59" s="54" t="s">
        <v>328</v>
      </c>
      <c r="D59" s="103"/>
      <c r="E59" s="449">
        <v>0.1</v>
      </c>
      <c r="F59" s="2"/>
      <c r="G59" s="2"/>
      <c r="H59" s="2"/>
      <c r="I59" s="2"/>
      <c r="J59" s="2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</row>
    <row r="60" spans="3:80" x14ac:dyDescent="0.3">
      <c r="D60" s="103"/>
      <c r="E60" s="2"/>
      <c r="F60" s="2"/>
      <c r="G60" s="2"/>
      <c r="H60" s="2"/>
      <c r="I60" s="2"/>
      <c r="J60" s="2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</row>
    <row r="61" spans="3:80" x14ac:dyDescent="0.3">
      <c r="C61" s="54" t="s">
        <v>355</v>
      </c>
      <c r="D61" s="103"/>
      <c r="E61" s="450">
        <v>100000</v>
      </c>
      <c r="F61" s="2"/>
      <c r="G61" s="2"/>
      <c r="H61" s="2"/>
      <c r="I61" s="2"/>
      <c r="J61" s="2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</row>
    <row r="62" spans="3:80" x14ac:dyDescent="0.3">
      <c r="D62" s="103"/>
      <c r="E62" s="2"/>
      <c r="F62" s="2"/>
      <c r="G62" s="2"/>
      <c r="H62" s="2"/>
      <c r="I62" s="2"/>
      <c r="J62" s="2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4"/>
    </row>
    <row r="63" spans="3:80" x14ac:dyDescent="0.3">
      <c r="D63" s="103"/>
      <c r="E63" s="2"/>
      <c r="F63" s="2"/>
      <c r="G63" s="2"/>
      <c r="H63" s="2"/>
      <c r="I63" s="2"/>
      <c r="J63" s="2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</row>
    <row r="64" spans="3:80" x14ac:dyDescent="0.3">
      <c r="D64" s="103"/>
      <c r="E64" s="145">
        <v>2015</v>
      </c>
      <c r="F64" s="145">
        <v>2016</v>
      </c>
      <c r="G64" s="145">
        <v>2017</v>
      </c>
      <c r="H64" s="145">
        <v>2018</v>
      </c>
      <c r="I64" s="145">
        <v>2019</v>
      </c>
      <c r="J64" s="145">
        <v>2020</v>
      </c>
      <c r="K64" s="145">
        <v>2021</v>
      </c>
      <c r="L64" s="145">
        <v>2022</v>
      </c>
      <c r="M64" s="145">
        <v>2023</v>
      </c>
      <c r="N64" s="145">
        <v>2024</v>
      </c>
      <c r="O64" s="145">
        <v>2025</v>
      </c>
      <c r="P64" s="145">
        <v>2026</v>
      </c>
      <c r="Q64" s="145">
        <v>2027</v>
      </c>
      <c r="R64" s="145">
        <v>2028</v>
      </c>
      <c r="S64" s="145">
        <v>2029</v>
      </c>
      <c r="T64" s="145">
        <v>2030</v>
      </c>
      <c r="U64" s="145">
        <v>2031</v>
      </c>
      <c r="V64" s="145">
        <v>2032</v>
      </c>
      <c r="W64" s="145">
        <v>2033</v>
      </c>
      <c r="X64" s="145">
        <v>2034</v>
      </c>
      <c r="Y64" s="145">
        <v>2035</v>
      </c>
      <c r="Z64" s="145">
        <v>2036</v>
      </c>
      <c r="AA64" s="145">
        <v>2037</v>
      </c>
      <c r="AB64" s="145">
        <v>2038</v>
      </c>
      <c r="AC64" s="145">
        <v>2039</v>
      </c>
      <c r="AD64" s="145">
        <v>2040</v>
      </c>
      <c r="AE64" s="145">
        <v>2041</v>
      </c>
      <c r="AF64" s="145">
        <v>2042</v>
      </c>
      <c r="AG64" s="145">
        <v>2043</v>
      </c>
      <c r="AH64" s="145">
        <v>2044</v>
      </c>
      <c r="AI64" s="145">
        <v>2045</v>
      </c>
      <c r="AJ64" s="145">
        <v>2046</v>
      </c>
      <c r="AK64" s="145">
        <v>2047</v>
      </c>
      <c r="AL64" s="145">
        <v>2048</v>
      </c>
      <c r="AM64" s="18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4"/>
    </row>
    <row r="65" spans="1:80" x14ac:dyDescent="0.3">
      <c r="C65" t="s">
        <v>280</v>
      </c>
      <c r="D65" s="103" t="s">
        <v>144</v>
      </c>
      <c r="E65" s="445">
        <v>3.3300000000000003E-2</v>
      </c>
      <c r="F65" s="445">
        <v>3.3300000000000003E-2</v>
      </c>
      <c r="G65" s="445">
        <v>3.3300000000000003E-2</v>
      </c>
      <c r="H65" s="445">
        <v>3.3300000000000003E-2</v>
      </c>
      <c r="I65" s="445">
        <v>3.3300000000000003E-2</v>
      </c>
      <c r="J65" s="445">
        <v>3.3300000000000003E-2</v>
      </c>
      <c r="K65" s="445">
        <v>3.3300000000000003E-2</v>
      </c>
      <c r="L65" s="445">
        <v>3.3300000000000003E-2</v>
      </c>
      <c r="M65" s="445">
        <v>3.3300000000000003E-2</v>
      </c>
      <c r="N65" s="445">
        <v>3.3300000000000003E-2</v>
      </c>
      <c r="O65" s="445">
        <v>3.3300000000000003E-2</v>
      </c>
      <c r="P65" s="445">
        <v>3.3300000000000003E-2</v>
      </c>
      <c r="Q65" s="445">
        <v>3.3300000000000003E-2</v>
      </c>
      <c r="R65" s="445">
        <v>3.3300000000000003E-2</v>
      </c>
      <c r="S65" s="445">
        <v>3.3300000000000003E-2</v>
      </c>
      <c r="T65" s="445">
        <v>3.3300000000000003E-2</v>
      </c>
      <c r="U65" s="445">
        <v>3.3300000000000003E-2</v>
      </c>
      <c r="V65" s="445">
        <v>3.3300000000000003E-2</v>
      </c>
      <c r="W65" s="445">
        <v>3.3300000000000003E-2</v>
      </c>
      <c r="X65" s="445">
        <v>3.3300000000000003E-2</v>
      </c>
      <c r="Y65" s="445">
        <v>3.3300000000000003E-2</v>
      </c>
      <c r="Z65" s="445">
        <v>3.3300000000000003E-2</v>
      </c>
      <c r="AA65" s="445">
        <v>3.3300000000000003E-2</v>
      </c>
      <c r="AB65" s="445">
        <v>3.3300000000000003E-2</v>
      </c>
      <c r="AC65" s="445">
        <v>3.3300000000000003E-2</v>
      </c>
      <c r="AD65" s="445">
        <v>3.3300000000000003E-2</v>
      </c>
      <c r="AE65" s="445">
        <v>3.3300000000000003E-2</v>
      </c>
      <c r="AF65" s="445">
        <v>3.3300000000000003E-2</v>
      </c>
      <c r="AG65" s="445">
        <v>3.3300000000000003E-2</v>
      </c>
      <c r="AH65" s="445">
        <v>3.3300000000000003E-2</v>
      </c>
      <c r="AI65" s="445">
        <v>3.3300000000000003E-2</v>
      </c>
      <c r="AJ65" s="445">
        <v>3.3300000000000003E-2</v>
      </c>
      <c r="AK65" s="445">
        <v>3.3300000000000003E-2</v>
      </c>
      <c r="AL65" s="445">
        <v>3.3300000000000003E-2</v>
      </c>
      <c r="AM65" s="47"/>
      <c r="AN65" s="182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4"/>
    </row>
    <row r="66" spans="1:80" x14ac:dyDescent="0.3">
      <c r="C66" s="376" t="s">
        <v>313</v>
      </c>
      <c r="D66" s="103" t="s">
        <v>144</v>
      </c>
      <c r="E66" s="445">
        <v>3.3300000000000003E-2</v>
      </c>
      <c r="F66" s="445">
        <v>3.3300000000000003E-2</v>
      </c>
      <c r="G66" s="445">
        <v>3.3300000000000003E-2</v>
      </c>
      <c r="H66" s="445">
        <v>3.3300000000000003E-2</v>
      </c>
      <c r="I66" s="445">
        <v>3.3300000000000003E-2</v>
      </c>
      <c r="J66" s="445">
        <v>3.3300000000000003E-2</v>
      </c>
      <c r="K66" s="445">
        <v>3.3300000000000003E-2</v>
      </c>
      <c r="L66" s="445">
        <v>3.3300000000000003E-2</v>
      </c>
      <c r="M66" s="445">
        <v>3.3300000000000003E-2</v>
      </c>
      <c r="N66" s="445">
        <v>3.3300000000000003E-2</v>
      </c>
      <c r="O66" s="445">
        <v>3.3300000000000003E-2</v>
      </c>
      <c r="P66" s="445">
        <v>3.3300000000000003E-2</v>
      </c>
      <c r="Q66" s="445">
        <v>3.3300000000000003E-2</v>
      </c>
      <c r="R66" s="445">
        <v>3.3300000000000003E-2</v>
      </c>
      <c r="S66" s="445">
        <v>3.3300000000000003E-2</v>
      </c>
      <c r="T66" s="445">
        <v>3.3300000000000003E-2</v>
      </c>
      <c r="U66" s="445">
        <v>3.3300000000000003E-2</v>
      </c>
      <c r="V66" s="445">
        <v>3.3300000000000003E-2</v>
      </c>
      <c r="W66" s="445">
        <v>3.3300000000000003E-2</v>
      </c>
      <c r="X66" s="445">
        <v>3.3300000000000003E-2</v>
      </c>
      <c r="Y66" s="445">
        <v>3.3300000000000003E-2</v>
      </c>
      <c r="Z66" s="445">
        <v>3.3300000000000003E-2</v>
      </c>
      <c r="AA66" s="445">
        <v>3.3300000000000003E-2</v>
      </c>
      <c r="AB66" s="445">
        <v>3.3300000000000003E-2</v>
      </c>
      <c r="AC66" s="445">
        <v>3.3300000000000003E-2</v>
      </c>
      <c r="AD66" s="445">
        <v>3.3300000000000003E-2</v>
      </c>
      <c r="AE66" s="445">
        <v>3.3300000000000003E-2</v>
      </c>
      <c r="AF66" s="445">
        <v>3.3300000000000003E-2</v>
      </c>
      <c r="AG66" s="445">
        <v>3.3300000000000003E-2</v>
      </c>
      <c r="AH66" s="445">
        <v>3.3300000000000003E-2</v>
      </c>
      <c r="AI66" s="445">
        <v>3.3300000000000003E-2</v>
      </c>
      <c r="AJ66" s="445">
        <v>3.3300000000000003E-2</v>
      </c>
      <c r="AK66" s="445">
        <v>3.3300000000000003E-2</v>
      </c>
      <c r="AL66" s="445">
        <v>3.3300000000000003E-2</v>
      </c>
      <c r="AM66" s="47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</row>
    <row r="67" spans="1:80" ht="15" thickBot="1" x14ac:dyDescent="0.35">
      <c r="D67" s="101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4"/>
    </row>
    <row r="68" spans="1:80" ht="21.6" thickBot="1" x14ac:dyDescent="0.45">
      <c r="C68" s="237" t="s">
        <v>151</v>
      </c>
      <c r="D68" s="238"/>
      <c r="E68" s="239"/>
      <c r="F68" s="239"/>
      <c r="G68" s="239"/>
      <c r="H68" s="239"/>
      <c r="I68" s="239"/>
      <c r="J68" s="239"/>
      <c r="K68" s="239"/>
      <c r="L68" s="239"/>
      <c r="M68" s="239"/>
      <c r="N68" s="239"/>
      <c r="O68" s="239"/>
      <c r="P68" s="239"/>
      <c r="Q68" s="239"/>
      <c r="R68" s="239"/>
      <c r="S68" s="239"/>
      <c r="T68" s="239"/>
      <c r="U68" s="239"/>
      <c r="V68" s="239"/>
      <c r="W68" s="239"/>
      <c r="X68" s="239"/>
      <c r="Y68" s="239"/>
      <c r="Z68" s="239"/>
      <c r="AA68" s="239"/>
      <c r="AB68" s="239"/>
      <c r="AC68" s="239"/>
      <c r="AD68" s="239"/>
      <c r="AE68" s="239"/>
      <c r="AF68" s="239"/>
      <c r="AG68" s="239"/>
      <c r="AH68" s="239"/>
      <c r="AI68" s="239"/>
      <c r="AJ68" s="239"/>
      <c r="AK68" s="239"/>
      <c r="AL68" s="239"/>
      <c r="AM68" s="240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  <c r="BZ68" s="44"/>
      <c r="CA68" s="44"/>
      <c r="CB68" s="44"/>
    </row>
    <row r="69" spans="1:80" s="44" customFormat="1" ht="21.6" x14ac:dyDescent="0.4">
      <c r="C69" s="139"/>
      <c r="D69" s="128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7"/>
      <c r="AL69" s="47"/>
      <c r="AM69" s="47"/>
    </row>
    <row r="70" spans="1:80" x14ac:dyDescent="0.3">
      <c r="D70" s="101"/>
      <c r="E70" s="246" t="s">
        <v>143</v>
      </c>
      <c r="F70" s="246" t="s">
        <v>229</v>
      </c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  <c r="BM70" s="44"/>
      <c r="BN70" s="44"/>
      <c r="BO70" s="44"/>
      <c r="BP70" s="44"/>
      <c r="BQ70" s="44"/>
      <c r="BR70" s="44"/>
      <c r="BS70" s="44"/>
      <c r="BT70" s="44"/>
      <c r="BU70" s="44"/>
      <c r="BV70" s="44"/>
      <c r="BW70" s="44"/>
      <c r="BX70" s="44"/>
      <c r="BY70" s="44"/>
      <c r="BZ70" s="44"/>
      <c r="CA70" s="44"/>
      <c r="CB70" s="44"/>
    </row>
    <row r="71" spans="1:80" x14ac:dyDescent="0.3">
      <c r="C71" t="s">
        <v>153</v>
      </c>
      <c r="D71" s="101"/>
      <c r="E71" s="451">
        <v>42156</v>
      </c>
      <c r="F71" s="148">
        <f>E73+1</f>
        <v>43466</v>
      </c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  <c r="BM71" s="44"/>
      <c r="BN71" s="44"/>
      <c r="BO71" s="44"/>
      <c r="BP71" s="44"/>
      <c r="BQ71" s="44"/>
      <c r="BR71" s="44"/>
      <c r="BS71" s="44"/>
      <c r="BT71" s="44"/>
      <c r="BU71" s="44"/>
      <c r="BV71" s="44"/>
      <c r="BW71" s="44"/>
      <c r="BX71" s="44"/>
      <c r="BY71" s="44"/>
      <c r="BZ71" s="44"/>
      <c r="CA71" s="44"/>
      <c r="CB71" s="44"/>
    </row>
    <row r="72" spans="1:80" x14ac:dyDescent="0.3">
      <c r="C72" t="s">
        <v>154</v>
      </c>
      <c r="D72" s="101"/>
      <c r="E72" s="452">
        <v>4</v>
      </c>
      <c r="F72" s="452">
        <v>30</v>
      </c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  <c r="BM72" s="44"/>
      <c r="BN72" s="44"/>
      <c r="BO72" s="44"/>
      <c r="BP72" s="44"/>
      <c r="BQ72" s="44"/>
      <c r="BR72" s="44"/>
      <c r="BS72" s="44"/>
      <c r="BT72" s="44"/>
      <c r="BU72" s="44"/>
      <c r="BV72" s="44"/>
      <c r="BW72" s="44"/>
      <c r="BX72" s="44"/>
      <c r="BY72" s="44"/>
      <c r="BZ72" s="44"/>
      <c r="CA72" s="44"/>
      <c r="CB72" s="44"/>
    </row>
    <row r="73" spans="1:80" x14ac:dyDescent="0.3">
      <c r="C73" t="s">
        <v>155</v>
      </c>
      <c r="D73" s="101"/>
      <c r="E73" s="148">
        <f>DATE(YEAR(E71),MONTH(E72)+E72*12,0)</f>
        <v>43465</v>
      </c>
      <c r="F73" s="148">
        <f>DATE(YEAR(F71),MONTH(F72)+F72*12,0)</f>
        <v>54423</v>
      </c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  <c r="BM73" s="44"/>
      <c r="BN73" s="44"/>
      <c r="BO73" s="44"/>
      <c r="BP73" s="44"/>
      <c r="BQ73" s="44"/>
      <c r="BR73" s="44"/>
      <c r="BS73" s="44"/>
      <c r="BT73" s="44"/>
      <c r="BU73" s="44"/>
      <c r="BV73" s="44"/>
      <c r="BW73" s="44"/>
      <c r="BX73" s="44"/>
      <c r="BY73" s="44"/>
      <c r="BZ73" s="44"/>
      <c r="CA73" s="44"/>
      <c r="CB73" s="44"/>
    </row>
    <row r="74" spans="1:80" x14ac:dyDescent="0.3">
      <c r="D74" s="101"/>
      <c r="H74" s="105"/>
      <c r="AO74" s="44"/>
      <c r="AP74" s="44"/>
      <c r="AQ74" s="44"/>
      <c r="AR74" s="44"/>
      <c r="AS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  <c r="BF74" s="44"/>
      <c r="BG74" s="44"/>
      <c r="BH74" s="44"/>
      <c r="BI74" s="44"/>
      <c r="BJ74" s="44"/>
      <c r="BK74" s="44"/>
      <c r="BL74" s="44"/>
      <c r="BM74" s="44"/>
      <c r="BN74" s="44"/>
      <c r="BO74" s="44"/>
      <c r="BP74" s="44"/>
      <c r="BQ74" s="44"/>
      <c r="BR74" s="44"/>
      <c r="BS74" s="44"/>
      <c r="BT74" s="44"/>
      <c r="BU74" s="44"/>
      <c r="BV74" s="44"/>
      <c r="BW74" s="44"/>
      <c r="BX74" s="44"/>
      <c r="BY74" s="44"/>
      <c r="BZ74" s="44"/>
      <c r="CA74" s="44"/>
      <c r="CB74" s="44"/>
    </row>
    <row r="75" spans="1:80" x14ac:dyDescent="0.3">
      <c r="A75" s="47"/>
      <c r="B75" s="47"/>
      <c r="C75" t="s">
        <v>127</v>
      </c>
      <c r="D75" s="101"/>
      <c r="E75" s="151" t="s">
        <v>127</v>
      </c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</row>
    <row r="76" spans="1:80" x14ac:dyDescent="0.3">
      <c r="A76" s="47"/>
      <c r="B76" s="47"/>
      <c r="D76" s="479" t="s">
        <v>157</v>
      </c>
      <c r="E76" s="479" t="s">
        <v>158</v>
      </c>
      <c r="F76" s="247">
        <f>E71</f>
        <v>42156</v>
      </c>
      <c r="G76" s="247">
        <f>F77+1</f>
        <v>42370</v>
      </c>
      <c r="H76" s="247">
        <f t="shared" ref="H76:AM76" si="2">G77+1</f>
        <v>42736</v>
      </c>
      <c r="I76" s="247">
        <f t="shared" si="2"/>
        <v>43101</v>
      </c>
      <c r="J76" s="247">
        <f t="shared" si="2"/>
        <v>43466</v>
      </c>
      <c r="K76" s="247">
        <f t="shared" si="2"/>
        <v>43831</v>
      </c>
      <c r="L76" s="247">
        <f t="shared" si="2"/>
        <v>44197</v>
      </c>
      <c r="M76" s="247">
        <f t="shared" si="2"/>
        <v>44562</v>
      </c>
      <c r="N76" s="247">
        <f t="shared" si="2"/>
        <v>44927</v>
      </c>
      <c r="O76" s="247">
        <f t="shared" si="2"/>
        <v>45292</v>
      </c>
      <c r="P76" s="247">
        <f t="shared" si="2"/>
        <v>45658</v>
      </c>
      <c r="Q76" s="247">
        <f t="shared" si="2"/>
        <v>46023</v>
      </c>
      <c r="R76" s="247">
        <f t="shared" si="2"/>
        <v>46388</v>
      </c>
      <c r="S76" s="247">
        <f t="shared" si="2"/>
        <v>46753</v>
      </c>
      <c r="T76" s="247">
        <f t="shared" si="2"/>
        <v>47119</v>
      </c>
      <c r="U76" s="247">
        <f t="shared" si="2"/>
        <v>47484</v>
      </c>
      <c r="V76" s="247">
        <f t="shared" si="2"/>
        <v>47849</v>
      </c>
      <c r="W76" s="247">
        <f t="shared" si="2"/>
        <v>48214</v>
      </c>
      <c r="X76" s="247">
        <f t="shared" si="2"/>
        <v>48580</v>
      </c>
      <c r="Y76" s="247">
        <f t="shared" si="2"/>
        <v>48945</v>
      </c>
      <c r="Z76" s="247">
        <f t="shared" si="2"/>
        <v>49310</v>
      </c>
      <c r="AA76" s="247">
        <f t="shared" si="2"/>
        <v>49675</v>
      </c>
      <c r="AB76" s="247">
        <f t="shared" si="2"/>
        <v>50041</v>
      </c>
      <c r="AC76" s="247">
        <f t="shared" si="2"/>
        <v>50406</v>
      </c>
      <c r="AD76" s="247">
        <f t="shared" si="2"/>
        <v>50771</v>
      </c>
      <c r="AE76" s="247">
        <f t="shared" si="2"/>
        <v>51136</v>
      </c>
      <c r="AF76" s="247">
        <f t="shared" si="2"/>
        <v>51502</v>
      </c>
      <c r="AG76" s="247">
        <f t="shared" si="2"/>
        <v>51867</v>
      </c>
      <c r="AH76" s="247">
        <f t="shared" si="2"/>
        <v>52232</v>
      </c>
      <c r="AI76" s="247">
        <f t="shared" si="2"/>
        <v>52597</v>
      </c>
      <c r="AJ76" s="247">
        <f t="shared" si="2"/>
        <v>52963</v>
      </c>
      <c r="AK76" s="247">
        <f t="shared" si="2"/>
        <v>53328</v>
      </c>
      <c r="AL76" s="247">
        <f t="shared" si="2"/>
        <v>53693</v>
      </c>
      <c r="AM76" s="248">
        <f t="shared" si="2"/>
        <v>54058</v>
      </c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  <c r="BL76" s="44"/>
      <c r="BM76" s="44"/>
      <c r="BN76" s="44"/>
      <c r="BO76" s="44"/>
      <c r="BP76" s="44"/>
      <c r="BQ76" s="44"/>
      <c r="BR76" s="44"/>
      <c r="BS76" s="44"/>
      <c r="BT76" s="44"/>
      <c r="BU76" s="44"/>
      <c r="BV76" s="44"/>
      <c r="BW76" s="44"/>
      <c r="BX76" s="44"/>
      <c r="BY76" s="44"/>
      <c r="BZ76" s="44"/>
      <c r="CA76" s="44"/>
    </row>
    <row r="77" spans="1:80" x14ac:dyDescent="0.3">
      <c r="A77" s="47"/>
      <c r="B77" s="47"/>
      <c r="D77" s="480"/>
      <c r="E77" s="480"/>
      <c r="F77" s="249">
        <f>DATE(YEAR(F76),12,31)</f>
        <v>42369</v>
      </c>
      <c r="G77" s="249">
        <f t="shared" ref="G77:AM77" si="3">DATE(YEAR(G76),12,31)</f>
        <v>42735</v>
      </c>
      <c r="H77" s="249">
        <f t="shared" si="3"/>
        <v>43100</v>
      </c>
      <c r="I77" s="249">
        <f t="shared" si="3"/>
        <v>43465</v>
      </c>
      <c r="J77" s="249">
        <f t="shared" si="3"/>
        <v>43830</v>
      </c>
      <c r="K77" s="249">
        <f t="shared" si="3"/>
        <v>44196</v>
      </c>
      <c r="L77" s="249">
        <f t="shared" si="3"/>
        <v>44561</v>
      </c>
      <c r="M77" s="249">
        <f t="shared" si="3"/>
        <v>44926</v>
      </c>
      <c r="N77" s="249">
        <f t="shared" si="3"/>
        <v>45291</v>
      </c>
      <c r="O77" s="249">
        <f t="shared" si="3"/>
        <v>45657</v>
      </c>
      <c r="P77" s="249">
        <f t="shared" si="3"/>
        <v>46022</v>
      </c>
      <c r="Q77" s="249">
        <f t="shared" si="3"/>
        <v>46387</v>
      </c>
      <c r="R77" s="249">
        <f t="shared" si="3"/>
        <v>46752</v>
      </c>
      <c r="S77" s="249">
        <f t="shared" si="3"/>
        <v>47118</v>
      </c>
      <c r="T77" s="249">
        <f t="shared" si="3"/>
        <v>47483</v>
      </c>
      <c r="U77" s="249">
        <f t="shared" si="3"/>
        <v>47848</v>
      </c>
      <c r="V77" s="249">
        <f t="shared" si="3"/>
        <v>48213</v>
      </c>
      <c r="W77" s="249">
        <f t="shared" si="3"/>
        <v>48579</v>
      </c>
      <c r="X77" s="249">
        <f t="shared" si="3"/>
        <v>48944</v>
      </c>
      <c r="Y77" s="249">
        <f t="shared" si="3"/>
        <v>49309</v>
      </c>
      <c r="Z77" s="249">
        <f t="shared" si="3"/>
        <v>49674</v>
      </c>
      <c r="AA77" s="249">
        <f t="shared" si="3"/>
        <v>50040</v>
      </c>
      <c r="AB77" s="249">
        <f t="shared" si="3"/>
        <v>50405</v>
      </c>
      <c r="AC77" s="249">
        <f t="shared" si="3"/>
        <v>50770</v>
      </c>
      <c r="AD77" s="249">
        <f t="shared" si="3"/>
        <v>51135</v>
      </c>
      <c r="AE77" s="249">
        <f t="shared" si="3"/>
        <v>51501</v>
      </c>
      <c r="AF77" s="249">
        <f t="shared" si="3"/>
        <v>51866</v>
      </c>
      <c r="AG77" s="249">
        <f t="shared" si="3"/>
        <v>52231</v>
      </c>
      <c r="AH77" s="249">
        <f t="shared" si="3"/>
        <v>52596</v>
      </c>
      <c r="AI77" s="249">
        <f t="shared" si="3"/>
        <v>52962</v>
      </c>
      <c r="AJ77" s="249">
        <f t="shared" si="3"/>
        <v>53327</v>
      </c>
      <c r="AK77" s="249">
        <f t="shared" si="3"/>
        <v>53692</v>
      </c>
      <c r="AL77" s="249">
        <f t="shared" si="3"/>
        <v>54057</v>
      </c>
      <c r="AM77" s="249">
        <f t="shared" si="3"/>
        <v>54423</v>
      </c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</row>
    <row r="78" spans="1:80" x14ac:dyDescent="0.3">
      <c r="A78" s="47"/>
      <c r="B78" s="47"/>
      <c r="C78" t="s">
        <v>143</v>
      </c>
      <c r="D78" s="250">
        <f>E71</f>
        <v>42156</v>
      </c>
      <c r="E78" s="251">
        <f>E73</f>
        <v>43465</v>
      </c>
      <c r="F78" s="108">
        <f t="shared" ref="F78:O79" si="4">IF(AND(F$76&gt;=$D78,F$77&lt;=$E78),1,0)</f>
        <v>1</v>
      </c>
      <c r="G78" s="108">
        <f t="shared" si="4"/>
        <v>1</v>
      </c>
      <c r="H78" s="108">
        <f t="shared" si="4"/>
        <v>1</v>
      </c>
      <c r="I78" s="108">
        <f t="shared" si="4"/>
        <v>1</v>
      </c>
      <c r="J78" s="108">
        <f t="shared" si="4"/>
        <v>0</v>
      </c>
      <c r="K78" s="108">
        <f t="shared" si="4"/>
        <v>0</v>
      </c>
      <c r="L78" s="108">
        <f t="shared" si="4"/>
        <v>0</v>
      </c>
      <c r="M78" s="108">
        <f t="shared" si="4"/>
        <v>0</v>
      </c>
      <c r="N78" s="108">
        <f t="shared" si="4"/>
        <v>0</v>
      </c>
      <c r="O78" s="108">
        <f t="shared" si="4"/>
        <v>0</v>
      </c>
      <c r="P78" s="108">
        <f t="shared" ref="P78:Y79" si="5">IF(AND(P$76&gt;=$D78,P$77&lt;=$E78),1,0)</f>
        <v>0</v>
      </c>
      <c r="Q78" s="108">
        <f t="shared" si="5"/>
        <v>0</v>
      </c>
      <c r="R78" s="108">
        <f t="shared" si="5"/>
        <v>0</v>
      </c>
      <c r="S78" s="108">
        <f t="shared" si="5"/>
        <v>0</v>
      </c>
      <c r="T78" s="108">
        <f t="shared" si="5"/>
        <v>0</v>
      </c>
      <c r="U78" s="108">
        <f t="shared" si="5"/>
        <v>0</v>
      </c>
      <c r="V78" s="108">
        <f t="shared" si="5"/>
        <v>0</v>
      </c>
      <c r="W78" s="108">
        <f t="shared" si="5"/>
        <v>0</v>
      </c>
      <c r="X78" s="108">
        <f t="shared" si="5"/>
        <v>0</v>
      </c>
      <c r="Y78" s="108">
        <f t="shared" si="5"/>
        <v>0</v>
      </c>
      <c r="Z78" s="108">
        <f t="shared" ref="Z78:AM79" si="6">IF(AND(Z$76&gt;=$D78,Z$77&lt;=$E78),1,0)</f>
        <v>0</v>
      </c>
      <c r="AA78" s="108">
        <f t="shared" si="6"/>
        <v>0</v>
      </c>
      <c r="AB78" s="108">
        <f t="shared" si="6"/>
        <v>0</v>
      </c>
      <c r="AC78" s="108">
        <f t="shared" si="6"/>
        <v>0</v>
      </c>
      <c r="AD78" s="108">
        <f t="shared" si="6"/>
        <v>0</v>
      </c>
      <c r="AE78" s="108">
        <f t="shared" si="6"/>
        <v>0</v>
      </c>
      <c r="AF78" s="108">
        <f t="shared" si="6"/>
        <v>0</v>
      </c>
      <c r="AG78" s="108">
        <f t="shared" si="6"/>
        <v>0</v>
      </c>
      <c r="AH78" s="108">
        <f t="shared" si="6"/>
        <v>0</v>
      </c>
      <c r="AI78" s="108">
        <f t="shared" si="6"/>
        <v>0</v>
      </c>
      <c r="AJ78" s="108">
        <f t="shared" si="6"/>
        <v>0</v>
      </c>
      <c r="AK78" s="108">
        <f t="shared" si="6"/>
        <v>0</v>
      </c>
      <c r="AL78" s="108">
        <f t="shared" si="6"/>
        <v>0</v>
      </c>
      <c r="AM78" s="149">
        <f t="shared" si="6"/>
        <v>0</v>
      </c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</row>
    <row r="79" spans="1:80" x14ac:dyDescent="0.3">
      <c r="A79" s="47"/>
      <c r="B79" s="47"/>
      <c r="C79" t="s">
        <v>229</v>
      </c>
      <c r="D79" s="252">
        <f>F71</f>
        <v>43466</v>
      </c>
      <c r="E79" s="253">
        <f>F73</f>
        <v>54423</v>
      </c>
      <c r="F79" s="109">
        <f t="shared" si="4"/>
        <v>0</v>
      </c>
      <c r="G79" s="109">
        <f t="shared" si="4"/>
        <v>0</v>
      </c>
      <c r="H79" s="109">
        <f t="shared" si="4"/>
        <v>0</v>
      </c>
      <c r="I79" s="109">
        <f t="shared" si="4"/>
        <v>0</v>
      </c>
      <c r="J79" s="109">
        <f t="shared" si="4"/>
        <v>1</v>
      </c>
      <c r="K79" s="109">
        <f t="shared" si="4"/>
        <v>1</v>
      </c>
      <c r="L79" s="109">
        <f t="shared" si="4"/>
        <v>1</v>
      </c>
      <c r="M79" s="109">
        <f t="shared" si="4"/>
        <v>1</v>
      </c>
      <c r="N79" s="109">
        <f t="shared" si="4"/>
        <v>1</v>
      </c>
      <c r="O79" s="109">
        <f t="shared" si="4"/>
        <v>1</v>
      </c>
      <c r="P79" s="109">
        <f t="shared" si="5"/>
        <v>1</v>
      </c>
      <c r="Q79" s="109">
        <f t="shared" si="5"/>
        <v>1</v>
      </c>
      <c r="R79" s="109">
        <f t="shared" si="5"/>
        <v>1</v>
      </c>
      <c r="S79" s="109">
        <f t="shared" si="5"/>
        <v>1</v>
      </c>
      <c r="T79" s="109">
        <f t="shared" si="5"/>
        <v>1</v>
      </c>
      <c r="U79" s="109">
        <f t="shared" si="5"/>
        <v>1</v>
      </c>
      <c r="V79" s="109">
        <f t="shared" si="5"/>
        <v>1</v>
      </c>
      <c r="W79" s="109">
        <f t="shared" si="5"/>
        <v>1</v>
      </c>
      <c r="X79" s="109">
        <f t="shared" si="5"/>
        <v>1</v>
      </c>
      <c r="Y79" s="109">
        <f t="shared" si="5"/>
        <v>1</v>
      </c>
      <c r="Z79" s="109">
        <f t="shared" si="6"/>
        <v>1</v>
      </c>
      <c r="AA79" s="109">
        <f t="shared" si="6"/>
        <v>1</v>
      </c>
      <c r="AB79" s="109">
        <f t="shared" si="6"/>
        <v>1</v>
      </c>
      <c r="AC79" s="109">
        <f t="shared" si="6"/>
        <v>1</v>
      </c>
      <c r="AD79" s="109">
        <f t="shared" si="6"/>
        <v>1</v>
      </c>
      <c r="AE79" s="109">
        <f t="shared" si="6"/>
        <v>1</v>
      </c>
      <c r="AF79" s="109">
        <f t="shared" si="6"/>
        <v>1</v>
      </c>
      <c r="AG79" s="109">
        <f t="shared" si="6"/>
        <v>1</v>
      </c>
      <c r="AH79" s="109">
        <f t="shared" si="6"/>
        <v>1</v>
      </c>
      <c r="AI79" s="109">
        <f t="shared" si="6"/>
        <v>1</v>
      </c>
      <c r="AJ79" s="109">
        <f t="shared" si="6"/>
        <v>1</v>
      </c>
      <c r="AK79" s="109">
        <f t="shared" si="6"/>
        <v>1</v>
      </c>
      <c r="AL79" s="109">
        <f t="shared" si="6"/>
        <v>1</v>
      </c>
      <c r="AM79" s="150">
        <f t="shared" si="6"/>
        <v>1</v>
      </c>
      <c r="AN79" s="44"/>
      <c r="AO79" s="44"/>
      <c r="AP79" s="44"/>
      <c r="AQ79" s="44"/>
      <c r="AR79" s="44"/>
      <c r="AS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  <c r="BF79" s="44"/>
      <c r="BG79" s="44"/>
      <c r="BH79" s="44"/>
      <c r="BI79" s="44"/>
      <c r="BJ79" s="44"/>
      <c r="BK79" s="44"/>
      <c r="BL79" s="44"/>
      <c r="BM79" s="44"/>
      <c r="BN79" s="44"/>
      <c r="BO79" s="44"/>
      <c r="BP79" s="44"/>
      <c r="BQ79" s="44"/>
      <c r="BR79" s="44"/>
      <c r="BS79" s="44"/>
      <c r="BT79" s="44"/>
      <c r="BU79" s="44"/>
      <c r="BV79" s="44"/>
      <c r="BW79" s="44"/>
      <c r="BX79" s="44"/>
      <c r="BY79" s="44"/>
      <c r="BZ79" s="44"/>
      <c r="CA79" s="44"/>
    </row>
    <row r="80" spans="1:80" x14ac:dyDescent="0.3">
      <c r="A80" s="47"/>
      <c r="B80" s="47"/>
      <c r="C80" s="47"/>
      <c r="D80" s="152"/>
      <c r="E80" s="154"/>
      <c r="F80" s="154"/>
      <c r="G80" s="154"/>
      <c r="H80" s="154"/>
      <c r="I80" s="154"/>
      <c r="J80" s="154"/>
      <c r="K80" s="154"/>
      <c r="L80" s="154"/>
      <c r="M80" s="154"/>
      <c r="N80" s="154"/>
      <c r="O80" s="154"/>
      <c r="P80" s="154"/>
      <c r="Q80" s="154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  <c r="AL80" s="15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</row>
    <row r="81" spans="1:80" x14ac:dyDescent="0.3">
      <c r="A81" s="47"/>
      <c r="B81" s="47"/>
      <c r="C81" s="47" t="s">
        <v>213</v>
      </c>
      <c r="D81" s="107" t="s">
        <v>156</v>
      </c>
      <c r="F81" s="155">
        <f t="shared" ref="F81:AM81" si="7">F77-$E$71</f>
        <v>213</v>
      </c>
      <c r="G81" s="155">
        <f t="shared" si="7"/>
        <v>579</v>
      </c>
      <c r="H81" s="155">
        <f t="shared" si="7"/>
        <v>944</v>
      </c>
      <c r="I81" s="155">
        <f t="shared" si="7"/>
        <v>1309</v>
      </c>
      <c r="J81" s="155">
        <f t="shared" si="7"/>
        <v>1674</v>
      </c>
      <c r="K81" s="155">
        <f t="shared" si="7"/>
        <v>2040</v>
      </c>
      <c r="L81" s="155">
        <f t="shared" si="7"/>
        <v>2405</v>
      </c>
      <c r="M81" s="155">
        <f t="shared" si="7"/>
        <v>2770</v>
      </c>
      <c r="N81" s="155">
        <f t="shared" si="7"/>
        <v>3135</v>
      </c>
      <c r="O81" s="155">
        <f t="shared" si="7"/>
        <v>3501</v>
      </c>
      <c r="P81" s="155">
        <f t="shared" si="7"/>
        <v>3866</v>
      </c>
      <c r="Q81" s="155">
        <f t="shared" si="7"/>
        <v>4231</v>
      </c>
      <c r="R81" s="155">
        <f t="shared" si="7"/>
        <v>4596</v>
      </c>
      <c r="S81" s="155">
        <f t="shared" si="7"/>
        <v>4962</v>
      </c>
      <c r="T81" s="155">
        <f t="shared" si="7"/>
        <v>5327</v>
      </c>
      <c r="U81" s="155">
        <f t="shared" si="7"/>
        <v>5692</v>
      </c>
      <c r="V81" s="155">
        <f t="shared" si="7"/>
        <v>6057</v>
      </c>
      <c r="W81" s="155">
        <f t="shared" si="7"/>
        <v>6423</v>
      </c>
      <c r="X81" s="155">
        <f t="shared" si="7"/>
        <v>6788</v>
      </c>
      <c r="Y81" s="155">
        <f t="shared" si="7"/>
        <v>7153</v>
      </c>
      <c r="Z81" s="155">
        <f t="shared" si="7"/>
        <v>7518</v>
      </c>
      <c r="AA81" s="155">
        <f t="shared" si="7"/>
        <v>7884</v>
      </c>
      <c r="AB81" s="155">
        <f t="shared" si="7"/>
        <v>8249</v>
      </c>
      <c r="AC81" s="155">
        <f t="shared" si="7"/>
        <v>8614</v>
      </c>
      <c r="AD81" s="155">
        <f t="shared" si="7"/>
        <v>8979</v>
      </c>
      <c r="AE81" s="155">
        <f t="shared" si="7"/>
        <v>9345</v>
      </c>
      <c r="AF81" s="155">
        <f t="shared" si="7"/>
        <v>9710</v>
      </c>
      <c r="AG81" s="155">
        <f t="shared" si="7"/>
        <v>10075</v>
      </c>
      <c r="AH81" s="155">
        <f t="shared" si="7"/>
        <v>10440</v>
      </c>
      <c r="AI81" s="155">
        <f t="shared" si="7"/>
        <v>10806</v>
      </c>
      <c r="AJ81" s="155">
        <f t="shared" si="7"/>
        <v>11171</v>
      </c>
      <c r="AK81" s="155">
        <f t="shared" si="7"/>
        <v>11536</v>
      </c>
      <c r="AL81" s="155">
        <f t="shared" si="7"/>
        <v>11901</v>
      </c>
      <c r="AM81" s="155">
        <f t="shared" si="7"/>
        <v>12267</v>
      </c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  <c r="BF81" s="44"/>
      <c r="BG81" s="44"/>
      <c r="BH81" s="44"/>
      <c r="BI81" s="44"/>
      <c r="BJ81" s="44"/>
      <c r="BK81" s="44"/>
      <c r="BL81" s="44"/>
      <c r="BM81" s="44"/>
      <c r="BN81" s="44"/>
      <c r="BO81" s="44"/>
      <c r="BP81" s="44"/>
      <c r="BQ81" s="44"/>
      <c r="BR81" s="44"/>
      <c r="BS81" s="44"/>
      <c r="BT81" s="44"/>
      <c r="BU81" s="44"/>
      <c r="BV81" s="44"/>
      <c r="BW81" s="44"/>
      <c r="BX81" s="44"/>
      <c r="BY81" s="44"/>
      <c r="BZ81" s="44"/>
      <c r="CA81" s="44"/>
    </row>
    <row r="82" spans="1:80" x14ac:dyDescent="0.3">
      <c r="A82" s="47"/>
      <c r="B82" s="47"/>
      <c r="C82" s="185" t="str">
        <f>C29</f>
        <v>Discount Factor (WACC)</v>
      </c>
      <c r="D82" s="128" t="str">
        <f>D29</f>
        <v>%</v>
      </c>
      <c r="F82" s="131">
        <f t="shared" ref="F82:AM82" si="8">POWER(1+$E$29,-F81/365)</f>
        <v>0.93116245416459142</v>
      </c>
      <c r="G82" s="131">
        <f t="shared" si="8"/>
        <v>0.82376169317596137</v>
      </c>
      <c r="H82" s="131">
        <f t="shared" si="8"/>
        <v>0.72899264882828441</v>
      </c>
      <c r="I82" s="131">
        <f t="shared" si="8"/>
        <v>0.64512623790113677</v>
      </c>
      <c r="J82" s="131">
        <f t="shared" si="8"/>
        <v>0.57090817513374947</v>
      </c>
      <c r="K82" s="131">
        <f t="shared" si="8"/>
        <v>0.50505932975799217</v>
      </c>
      <c r="L82" s="131">
        <f t="shared" si="8"/>
        <v>0.4469551590778692</v>
      </c>
      <c r="M82" s="131">
        <f t="shared" si="8"/>
        <v>0.39553553900696398</v>
      </c>
      <c r="N82" s="131">
        <f t="shared" si="8"/>
        <v>0.35003145044864076</v>
      </c>
      <c r="O82" s="131">
        <f t="shared" si="8"/>
        <v>0.30965864119285325</v>
      </c>
      <c r="P82" s="131">
        <f t="shared" si="8"/>
        <v>0.27403419574588789</v>
      </c>
      <c r="Q82" s="131">
        <f t="shared" si="8"/>
        <v>0.24250813782821937</v>
      </c>
      <c r="R82" s="131">
        <f t="shared" si="8"/>
        <v>0.2146089715293977</v>
      </c>
      <c r="S82" s="131">
        <f t="shared" si="8"/>
        <v>0.18985586131306764</v>
      </c>
      <c r="T82" s="131">
        <f t="shared" si="8"/>
        <v>0.16801403656023683</v>
      </c>
      <c r="U82" s="131">
        <f t="shared" si="8"/>
        <v>0.14868498810640432</v>
      </c>
      <c r="V82" s="131">
        <f t="shared" si="8"/>
        <v>0.13157963549239318</v>
      </c>
      <c r="W82" s="131">
        <f t="shared" si="8"/>
        <v>0.11640317200926432</v>
      </c>
      <c r="X82" s="131">
        <f t="shared" si="8"/>
        <v>0.10301165664536668</v>
      </c>
      <c r="Y82" s="131">
        <f t="shared" si="8"/>
        <v>9.1160758093244865E-2</v>
      </c>
      <c r="Z82" s="131">
        <f t="shared" si="8"/>
        <v>8.0673237250659155E-2</v>
      </c>
      <c r="AA82" s="131">
        <f t="shared" si="8"/>
        <v>7.1368344174927809E-2</v>
      </c>
      <c r="AB82" s="131">
        <f t="shared" si="8"/>
        <v>6.3157826703475958E-2</v>
      </c>
      <c r="AC82" s="131">
        <f t="shared" si="8"/>
        <v>5.5891882038474304E-2</v>
      </c>
      <c r="AD82" s="131">
        <f t="shared" si="8"/>
        <v>4.9461842511924176E-2</v>
      </c>
      <c r="AE82" s="131">
        <f t="shared" si="8"/>
        <v>4.3756887912518215E-2</v>
      </c>
      <c r="AF82" s="131">
        <f t="shared" si="8"/>
        <v>3.8722909657095753E-2</v>
      </c>
      <c r="AG82" s="131">
        <f t="shared" si="8"/>
        <v>3.4268061643447575E-2</v>
      </c>
      <c r="AH82" s="131">
        <f t="shared" si="8"/>
        <v>3.0325718268537687E-2</v>
      </c>
      <c r="AI82" s="131">
        <f t="shared" si="8"/>
        <v>2.682793417619064E-2</v>
      </c>
      <c r="AJ82" s="131">
        <f t="shared" si="8"/>
        <v>2.374153466919526E-2</v>
      </c>
      <c r="AK82" s="131">
        <f t="shared" si="8"/>
        <v>2.1010207671854207E-2</v>
      </c>
      <c r="AL82" s="131">
        <f t="shared" si="8"/>
        <v>1.8593104134384256E-2</v>
      </c>
      <c r="AM82" s="131">
        <f t="shared" si="8"/>
        <v>1.6448565848672027E-2</v>
      </c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</row>
    <row r="83" spans="1:80" ht="15" thickBot="1" x14ac:dyDescent="0.35">
      <c r="A83" s="47"/>
      <c r="B83" s="47"/>
      <c r="C83" s="47"/>
      <c r="D83" s="128"/>
      <c r="E83" s="155"/>
      <c r="F83" s="155"/>
      <c r="G83" s="155"/>
      <c r="H83" s="155"/>
      <c r="I83" s="155"/>
      <c r="J83" s="155"/>
      <c r="K83" s="155"/>
      <c r="L83" s="155"/>
      <c r="M83" s="155"/>
      <c r="N83" s="155"/>
      <c r="O83" s="155"/>
      <c r="P83" s="155"/>
      <c r="Q83" s="155"/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47"/>
      <c r="AE83" s="44"/>
      <c r="AF83" s="44"/>
      <c r="AG83" s="44"/>
      <c r="AH83" s="44"/>
      <c r="AI83" s="44"/>
      <c r="AJ83" s="44"/>
      <c r="AK83" s="44"/>
      <c r="AL83" s="44"/>
      <c r="AM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  <c r="BK83" s="44"/>
      <c r="BL83" s="44"/>
      <c r="BM83" s="44"/>
      <c r="BN83" s="44"/>
      <c r="BO83" s="44"/>
      <c r="BP83" s="44"/>
      <c r="BQ83" s="44"/>
      <c r="BR83" s="44"/>
      <c r="BS83" s="44"/>
      <c r="BT83" s="44"/>
      <c r="BU83" s="44"/>
      <c r="BV83" s="44"/>
      <c r="BW83" s="44"/>
      <c r="BX83" s="44"/>
      <c r="BY83" s="44"/>
      <c r="BZ83" s="44"/>
      <c r="CA83" s="44"/>
      <c r="CB83" s="44"/>
    </row>
    <row r="84" spans="1:80" ht="21.6" thickBot="1" x14ac:dyDescent="0.45">
      <c r="A84" s="47"/>
      <c r="B84" s="47"/>
      <c r="C84" s="237" t="s">
        <v>184</v>
      </c>
      <c r="D84" s="238"/>
      <c r="E84" s="239"/>
      <c r="F84" s="239"/>
      <c r="G84" s="239"/>
      <c r="H84" s="239"/>
      <c r="I84" s="239"/>
      <c r="J84" s="239"/>
      <c r="K84" s="239"/>
      <c r="L84" s="239"/>
      <c r="M84" s="239"/>
      <c r="N84" s="239"/>
      <c r="O84" s="239"/>
      <c r="P84" s="239"/>
      <c r="Q84" s="239"/>
      <c r="R84" s="239"/>
      <c r="S84" s="239"/>
      <c r="T84" s="239"/>
      <c r="U84" s="239"/>
      <c r="V84" s="239"/>
      <c r="W84" s="239"/>
      <c r="X84" s="239"/>
      <c r="Y84" s="239"/>
      <c r="Z84" s="239"/>
      <c r="AA84" s="239"/>
      <c r="AB84" s="239"/>
      <c r="AC84" s="239"/>
      <c r="AD84" s="239"/>
      <c r="AE84" s="239"/>
      <c r="AF84" s="239"/>
      <c r="AG84" s="239"/>
      <c r="AH84" s="239"/>
      <c r="AI84" s="239"/>
      <c r="AJ84" s="239"/>
      <c r="AK84" s="239"/>
      <c r="AL84" s="239"/>
      <c r="AM84" s="240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</row>
    <row r="85" spans="1:80" ht="16.8" x14ac:dyDescent="0.3">
      <c r="A85" s="47"/>
      <c r="B85" s="47"/>
      <c r="C85" s="125"/>
      <c r="D85" s="112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125"/>
      <c r="T85" s="125"/>
      <c r="U85" s="125"/>
      <c r="V85" s="125"/>
      <c r="W85" s="125"/>
      <c r="X85" s="125"/>
      <c r="Y85" s="125"/>
      <c r="Z85" s="125"/>
      <c r="AA85" s="125"/>
      <c r="AB85" s="125"/>
      <c r="AC85" s="125"/>
      <c r="AD85" s="125"/>
      <c r="AE85" s="44"/>
      <c r="AF85" s="44"/>
      <c r="AG85" s="44"/>
      <c r="AH85" s="44"/>
      <c r="AI85" s="44"/>
      <c r="AJ85" s="44"/>
      <c r="AK85" s="44"/>
      <c r="AL85" s="44"/>
      <c r="AM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</row>
    <row r="86" spans="1:80" x14ac:dyDescent="0.3">
      <c r="A86" s="47"/>
      <c r="B86" s="47"/>
      <c r="C86" s="47" t="s">
        <v>170</v>
      </c>
      <c r="D86" s="107" t="s">
        <v>171</v>
      </c>
      <c r="E86" s="47"/>
      <c r="F86" s="170">
        <f t="shared" ref="F86:AM86" si="9">F77-F76+1</f>
        <v>214</v>
      </c>
      <c r="G86" s="170">
        <f t="shared" si="9"/>
        <v>366</v>
      </c>
      <c r="H86" s="170">
        <f t="shared" si="9"/>
        <v>365</v>
      </c>
      <c r="I86" s="170">
        <f t="shared" si="9"/>
        <v>365</v>
      </c>
      <c r="J86" s="170">
        <f t="shared" si="9"/>
        <v>365</v>
      </c>
      <c r="K86" s="170">
        <f t="shared" si="9"/>
        <v>366</v>
      </c>
      <c r="L86" s="170">
        <f t="shared" si="9"/>
        <v>365</v>
      </c>
      <c r="M86" s="170">
        <f t="shared" si="9"/>
        <v>365</v>
      </c>
      <c r="N86" s="170">
        <f t="shared" si="9"/>
        <v>365</v>
      </c>
      <c r="O86" s="170">
        <f t="shared" si="9"/>
        <v>366</v>
      </c>
      <c r="P86" s="170">
        <f t="shared" si="9"/>
        <v>365</v>
      </c>
      <c r="Q86" s="170">
        <f t="shared" si="9"/>
        <v>365</v>
      </c>
      <c r="R86" s="170">
        <f t="shared" si="9"/>
        <v>365</v>
      </c>
      <c r="S86" s="170">
        <f t="shared" si="9"/>
        <v>366</v>
      </c>
      <c r="T86" s="170">
        <f t="shared" si="9"/>
        <v>365</v>
      </c>
      <c r="U86" s="170">
        <f t="shared" si="9"/>
        <v>365</v>
      </c>
      <c r="V86" s="170">
        <f t="shared" si="9"/>
        <v>365</v>
      </c>
      <c r="W86" s="170">
        <f t="shared" si="9"/>
        <v>366</v>
      </c>
      <c r="X86" s="170">
        <f t="shared" si="9"/>
        <v>365</v>
      </c>
      <c r="Y86" s="170">
        <f t="shared" si="9"/>
        <v>365</v>
      </c>
      <c r="Z86" s="170">
        <f t="shared" si="9"/>
        <v>365</v>
      </c>
      <c r="AA86" s="170">
        <f t="shared" si="9"/>
        <v>366</v>
      </c>
      <c r="AB86" s="170">
        <f t="shared" si="9"/>
        <v>365</v>
      </c>
      <c r="AC86" s="170">
        <f t="shared" si="9"/>
        <v>365</v>
      </c>
      <c r="AD86" s="170">
        <f t="shared" si="9"/>
        <v>365</v>
      </c>
      <c r="AE86" s="170">
        <f t="shared" si="9"/>
        <v>366</v>
      </c>
      <c r="AF86" s="170">
        <f t="shared" si="9"/>
        <v>365</v>
      </c>
      <c r="AG86" s="170">
        <f t="shared" si="9"/>
        <v>365</v>
      </c>
      <c r="AH86" s="170">
        <f t="shared" si="9"/>
        <v>365</v>
      </c>
      <c r="AI86" s="170">
        <f t="shared" si="9"/>
        <v>366</v>
      </c>
      <c r="AJ86" s="170">
        <f t="shared" si="9"/>
        <v>365</v>
      </c>
      <c r="AK86" s="170">
        <f t="shared" si="9"/>
        <v>365</v>
      </c>
      <c r="AL86" s="170">
        <f t="shared" si="9"/>
        <v>365</v>
      </c>
      <c r="AM86" s="170">
        <f t="shared" si="9"/>
        <v>366</v>
      </c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</row>
    <row r="87" spans="1:80" x14ac:dyDescent="0.3">
      <c r="A87" s="47"/>
      <c r="B87" s="47"/>
      <c r="C87" s="47" t="s">
        <v>185</v>
      </c>
      <c r="D87" s="107" t="s">
        <v>156</v>
      </c>
      <c r="E87" s="47"/>
      <c r="F87" s="165">
        <f t="shared" ref="F87:AM87" si="10">YEAR(F77)</f>
        <v>2015</v>
      </c>
      <c r="G87" s="165">
        <f t="shared" si="10"/>
        <v>2016</v>
      </c>
      <c r="H87" s="165">
        <f t="shared" si="10"/>
        <v>2017</v>
      </c>
      <c r="I87" s="165">
        <f t="shared" si="10"/>
        <v>2018</v>
      </c>
      <c r="J87" s="165">
        <f t="shared" si="10"/>
        <v>2019</v>
      </c>
      <c r="K87" s="165">
        <f t="shared" si="10"/>
        <v>2020</v>
      </c>
      <c r="L87" s="165">
        <f t="shared" si="10"/>
        <v>2021</v>
      </c>
      <c r="M87" s="165">
        <f t="shared" si="10"/>
        <v>2022</v>
      </c>
      <c r="N87" s="165">
        <f t="shared" si="10"/>
        <v>2023</v>
      </c>
      <c r="O87" s="165">
        <f t="shared" si="10"/>
        <v>2024</v>
      </c>
      <c r="P87" s="165">
        <f t="shared" si="10"/>
        <v>2025</v>
      </c>
      <c r="Q87" s="165">
        <f t="shared" si="10"/>
        <v>2026</v>
      </c>
      <c r="R87" s="165">
        <f t="shared" si="10"/>
        <v>2027</v>
      </c>
      <c r="S87" s="165">
        <f t="shared" si="10"/>
        <v>2028</v>
      </c>
      <c r="T87" s="165">
        <f t="shared" si="10"/>
        <v>2029</v>
      </c>
      <c r="U87" s="165">
        <f t="shared" si="10"/>
        <v>2030</v>
      </c>
      <c r="V87" s="165">
        <f t="shared" si="10"/>
        <v>2031</v>
      </c>
      <c r="W87" s="165">
        <f t="shared" si="10"/>
        <v>2032</v>
      </c>
      <c r="X87" s="165">
        <f t="shared" si="10"/>
        <v>2033</v>
      </c>
      <c r="Y87" s="165">
        <f t="shared" si="10"/>
        <v>2034</v>
      </c>
      <c r="Z87" s="165">
        <f t="shared" si="10"/>
        <v>2035</v>
      </c>
      <c r="AA87" s="165">
        <f t="shared" si="10"/>
        <v>2036</v>
      </c>
      <c r="AB87" s="165">
        <f t="shared" si="10"/>
        <v>2037</v>
      </c>
      <c r="AC87" s="165">
        <f t="shared" si="10"/>
        <v>2038</v>
      </c>
      <c r="AD87" s="165">
        <f t="shared" si="10"/>
        <v>2039</v>
      </c>
      <c r="AE87" s="165">
        <f t="shared" si="10"/>
        <v>2040</v>
      </c>
      <c r="AF87" s="165">
        <f t="shared" si="10"/>
        <v>2041</v>
      </c>
      <c r="AG87" s="165">
        <f t="shared" si="10"/>
        <v>2042</v>
      </c>
      <c r="AH87" s="165">
        <f t="shared" si="10"/>
        <v>2043</v>
      </c>
      <c r="AI87" s="165">
        <f t="shared" si="10"/>
        <v>2044</v>
      </c>
      <c r="AJ87" s="165">
        <f t="shared" si="10"/>
        <v>2045</v>
      </c>
      <c r="AK87" s="165">
        <f t="shared" si="10"/>
        <v>2046</v>
      </c>
      <c r="AL87" s="165">
        <f t="shared" si="10"/>
        <v>2047</v>
      </c>
      <c r="AM87" s="165">
        <f t="shared" si="10"/>
        <v>2048</v>
      </c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</row>
    <row r="88" spans="1:80" x14ac:dyDescent="0.3">
      <c r="A88" s="47"/>
      <c r="B88" s="47"/>
      <c r="C88" s="47" t="s">
        <v>172</v>
      </c>
      <c r="D88" s="107" t="s">
        <v>156</v>
      </c>
      <c r="E88" s="254"/>
      <c r="F88" s="170">
        <f t="shared" ref="F88:AM88" si="11">(E88+1)*F79</f>
        <v>0</v>
      </c>
      <c r="G88" s="170">
        <f t="shared" si="11"/>
        <v>0</v>
      </c>
      <c r="H88" s="170">
        <f t="shared" si="11"/>
        <v>0</v>
      </c>
      <c r="I88" s="170">
        <f t="shared" si="11"/>
        <v>0</v>
      </c>
      <c r="J88" s="170">
        <f t="shared" si="11"/>
        <v>1</v>
      </c>
      <c r="K88" s="170">
        <f t="shared" si="11"/>
        <v>2</v>
      </c>
      <c r="L88" s="170">
        <f t="shared" si="11"/>
        <v>3</v>
      </c>
      <c r="M88" s="170">
        <f t="shared" si="11"/>
        <v>4</v>
      </c>
      <c r="N88" s="170">
        <f t="shared" si="11"/>
        <v>5</v>
      </c>
      <c r="O88" s="170">
        <f t="shared" si="11"/>
        <v>6</v>
      </c>
      <c r="P88" s="170">
        <f t="shared" si="11"/>
        <v>7</v>
      </c>
      <c r="Q88" s="170">
        <f t="shared" si="11"/>
        <v>8</v>
      </c>
      <c r="R88" s="170">
        <f t="shared" si="11"/>
        <v>9</v>
      </c>
      <c r="S88" s="170">
        <f t="shared" si="11"/>
        <v>10</v>
      </c>
      <c r="T88" s="170">
        <f t="shared" si="11"/>
        <v>11</v>
      </c>
      <c r="U88" s="170">
        <f t="shared" si="11"/>
        <v>12</v>
      </c>
      <c r="V88" s="170">
        <f t="shared" si="11"/>
        <v>13</v>
      </c>
      <c r="W88" s="170">
        <f t="shared" si="11"/>
        <v>14</v>
      </c>
      <c r="X88" s="170">
        <f t="shared" si="11"/>
        <v>15</v>
      </c>
      <c r="Y88" s="170">
        <f t="shared" si="11"/>
        <v>16</v>
      </c>
      <c r="Z88" s="170">
        <f t="shared" si="11"/>
        <v>17</v>
      </c>
      <c r="AA88" s="170">
        <f t="shared" si="11"/>
        <v>18</v>
      </c>
      <c r="AB88" s="170">
        <f t="shared" si="11"/>
        <v>19</v>
      </c>
      <c r="AC88" s="170">
        <f t="shared" si="11"/>
        <v>20</v>
      </c>
      <c r="AD88" s="170">
        <f t="shared" si="11"/>
        <v>21</v>
      </c>
      <c r="AE88" s="170">
        <f t="shared" si="11"/>
        <v>22</v>
      </c>
      <c r="AF88" s="170">
        <f t="shared" si="11"/>
        <v>23</v>
      </c>
      <c r="AG88" s="170">
        <f t="shared" si="11"/>
        <v>24</v>
      </c>
      <c r="AH88" s="170">
        <f t="shared" si="11"/>
        <v>25</v>
      </c>
      <c r="AI88" s="170">
        <f t="shared" si="11"/>
        <v>26</v>
      </c>
      <c r="AJ88" s="170">
        <f t="shared" si="11"/>
        <v>27</v>
      </c>
      <c r="AK88" s="170">
        <f t="shared" si="11"/>
        <v>28</v>
      </c>
      <c r="AL88" s="170">
        <f t="shared" si="11"/>
        <v>29</v>
      </c>
      <c r="AM88" s="170">
        <f t="shared" si="11"/>
        <v>30</v>
      </c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</row>
    <row r="89" spans="1:80" x14ac:dyDescent="0.3">
      <c r="A89" s="47"/>
      <c r="B89" s="47"/>
      <c r="C89" s="47" t="s">
        <v>186</v>
      </c>
      <c r="D89" s="107" t="s">
        <v>156</v>
      </c>
      <c r="E89" s="254"/>
      <c r="F89" s="170">
        <f>(E89+MONTH(E73-E71))*F78</f>
        <v>8</v>
      </c>
      <c r="G89" s="170">
        <f t="shared" ref="G89:AM89" si="12">(F89+12)*G78</f>
        <v>20</v>
      </c>
      <c r="H89" s="170">
        <f t="shared" si="12"/>
        <v>32</v>
      </c>
      <c r="I89" s="170">
        <f t="shared" si="12"/>
        <v>44</v>
      </c>
      <c r="J89" s="170">
        <f t="shared" si="12"/>
        <v>0</v>
      </c>
      <c r="K89" s="170">
        <f t="shared" si="12"/>
        <v>0</v>
      </c>
      <c r="L89" s="170">
        <f t="shared" si="12"/>
        <v>0</v>
      </c>
      <c r="M89" s="170">
        <f t="shared" si="12"/>
        <v>0</v>
      </c>
      <c r="N89" s="170">
        <f t="shared" si="12"/>
        <v>0</v>
      </c>
      <c r="O89" s="170">
        <f t="shared" si="12"/>
        <v>0</v>
      </c>
      <c r="P89" s="170">
        <f t="shared" si="12"/>
        <v>0</v>
      </c>
      <c r="Q89" s="170">
        <f t="shared" si="12"/>
        <v>0</v>
      </c>
      <c r="R89" s="170">
        <f t="shared" si="12"/>
        <v>0</v>
      </c>
      <c r="S89" s="170">
        <f t="shared" si="12"/>
        <v>0</v>
      </c>
      <c r="T89" s="170">
        <f t="shared" si="12"/>
        <v>0</v>
      </c>
      <c r="U89" s="170">
        <f t="shared" si="12"/>
        <v>0</v>
      </c>
      <c r="V89" s="170">
        <f t="shared" si="12"/>
        <v>0</v>
      </c>
      <c r="W89" s="170">
        <f t="shared" si="12"/>
        <v>0</v>
      </c>
      <c r="X89" s="170">
        <f t="shared" si="12"/>
        <v>0</v>
      </c>
      <c r="Y89" s="170">
        <f t="shared" si="12"/>
        <v>0</v>
      </c>
      <c r="Z89" s="170">
        <f t="shared" si="12"/>
        <v>0</v>
      </c>
      <c r="AA89" s="170">
        <f t="shared" si="12"/>
        <v>0</v>
      </c>
      <c r="AB89" s="170">
        <f t="shared" si="12"/>
        <v>0</v>
      </c>
      <c r="AC89" s="170">
        <f t="shared" si="12"/>
        <v>0</v>
      </c>
      <c r="AD89" s="170">
        <f t="shared" si="12"/>
        <v>0</v>
      </c>
      <c r="AE89" s="170">
        <f t="shared" si="12"/>
        <v>0</v>
      </c>
      <c r="AF89" s="170">
        <f t="shared" si="12"/>
        <v>0</v>
      </c>
      <c r="AG89" s="170">
        <f t="shared" si="12"/>
        <v>0</v>
      </c>
      <c r="AH89" s="170">
        <f t="shared" si="12"/>
        <v>0</v>
      </c>
      <c r="AI89" s="170">
        <f t="shared" si="12"/>
        <v>0</v>
      </c>
      <c r="AJ89" s="170">
        <f t="shared" si="12"/>
        <v>0</v>
      </c>
      <c r="AK89" s="170">
        <f t="shared" si="12"/>
        <v>0</v>
      </c>
      <c r="AL89" s="170">
        <f t="shared" si="12"/>
        <v>0</v>
      </c>
      <c r="AM89" s="170">
        <f t="shared" si="12"/>
        <v>0</v>
      </c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</row>
    <row r="90" spans="1:80" x14ac:dyDescent="0.3">
      <c r="A90" s="47"/>
      <c r="B90" s="47"/>
      <c r="C90" s="47" t="s">
        <v>187</v>
      </c>
      <c r="D90" s="107" t="s">
        <v>156</v>
      </c>
      <c r="E90" s="254"/>
      <c r="F90" s="170">
        <f t="shared" ref="F90:AM90" si="13">(E90+1)*F78</f>
        <v>1</v>
      </c>
      <c r="G90" s="170">
        <f t="shared" si="13"/>
        <v>2</v>
      </c>
      <c r="H90" s="170">
        <f t="shared" si="13"/>
        <v>3</v>
      </c>
      <c r="I90" s="170">
        <f t="shared" si="13"/>
        <v>4</v>
      </c>
      <c r="J90" s="170">
        <f t="shared" si="13"/>
        <v>0</v>
      </c>
      <c r="K90" s="170">
        <f t="shared" si="13"/>
        <v>0</v>
      </c>
      <c r="L90" s="170">
        <f t="shared" si="13"/>
        <v>0</v>
      </c>
      <c r="M90" s="170">
        <f t="shared" si="13"/>
        <v>0</v>
      </c>
      <c r="N90" s="170">
        <f t="shared" si="13"/>
        <v>0</v>
      </c>
      <c r="O90" s="170">
        <f t="shared" si="13"/>
        <v>0</v>
      </c>
      <c r="P90" s="170">
        <f t="shared" si="13"/>
        <v>0</v>
      </c>
      <c r="Q90" s="170">
        <f t="shared" si="13"/>
        <v>0</v>
      </c>
      <c r="R90" s="170">
        <f t="shared" si="13"/>
        <v>0</v>
      </c>
      <c r="S90" s="170">
        <f t="shared" si="13"/>
        <v>0</v>
      </c>
      <c r="T90" s="170">
        <f t="shared" si="13"/>
        <v>0</v>
      </c>
      <c r="U90" s="170">
        <f t="shared" si="13"/>
        <v>0</v>
      </c>
      <c r="V90" s="170">
        <f t="shared" si="13"/>
        <v>0</v>
      </c>
      <c r="W90" s="170">
        <f t="shared" si="13"/>
        <v>0</v>
      </c>
      <c r="X90" s="170">
        <f t="shared" si="13"/>
        <v>0</v>
      </c>
      <c r="Y90" s="170">
        <f t="shared" si="13"/>
        <v>0</v>
      </c>
      <c r="Z90" s="170">
        <f t="shared" si="13"/>
        <v>0</v>
      </c>
      <c r="AA90" s="170">
        <f t="shared" si="13"/>
        <v>0</v>
      </c>
      <c r="AB90" s="170">
        <f t="shared" si="13"/>
        <v>0</v>
      </c>
      <c r="AC90" s="170">
        <f t="shared" si="13"/>
        <v>0</v>
      </c>
      <c r="AD90" s="170">
        <f t="shared" si="13"/>
        <v>0</v>
      </c>
      <c r="AE90" s="170">
        <f t="shared" si="13"/>
        <v>0</v>
      </c>
      <c r="AF90" s="170">
        <f t="shared" si="13"/>
        <v>0</v>
      </c>
      <c r="AG90" s="170">
        <f t="shared" si="13"/>
        <v>0</v>
      </c>
      <c r="AH90" s="170">
        <f t="shared" si="13"/>
        <v>0</v>
      </c>
      <c r="AI90" s="170">
        <f t="shared" si="13"/>
        <v>0</v>
      </c>
      <c r="AJ90" s="170">
        <f t="shared" si="13"/>
        <v>0</v>
      </c>
      <c r="AK90" s="170">
        <f t="shared" si="13"/>
        <v>0</v>
      </c>
      <c r="AL90" s="170">
        <f t="shared" si="13"/>
        <v>0</v>
      </c>
      <c r="AM90" s="170">
        <f t="shared" si="13"/>
        <v>0</v>
      </c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</row>
    <row r="91" spans="1:80" x14ac:dyDescent="0.3">
      <c r="A91" s="47"/>
      <c r="B91" s="47"/>
      <c r="C91" s="47" t="s">
        <v>189</v>
      </c>
      <c r="D91" s="107" t="s">
        <v>156</v>
      </c>
      <c r="E91" s="47"/>
      <c r="F91" s="170">
        <f t="shared" ref="F91:AM91" si="14">IF(F78=1,F90,(E91+1)*F79)</f>
        <v>1</v>
      </c>
      <c r="G91" s="170">
        <f t="shared" si="14"/>
        <v>2</v>
      </c>
      <c r="H91" s="170">
        <f t="shared" si="14"/>
        <v>3</v>
      </c>
      <c r="I91" s="170">
        <f t="shared" si="14"/>
        <v>4</v>
      </c>
      <c r="J91" s="170">
        <f t="shared" si="14"/>
        <v>5</v>
      </c>
      <c r="K91" s="170">
        <f t="shared" si="14"/>
        <v>6</v>
      </c>
      <c r="L91" s="170">
        <f t="shared" si="14"/>
        <v>7</v>
      </c>
      <c r="M91" s="170">
        <f t="shared" si="14"/>
        <v>8</v>
      </c>
      <c r="N91" s="170">
        <f t="shared" si="14"/>
        <v>9</v>
      </c>
      <c r="O91" s="170">
        <f t="shared" si="14"/>
        <v>10</v>
      </c>
      <c r="P91" s="170">
        <f t="shared" si="14"/>
        <v>11</v>
      </c>
      <c r="Q91" s="170">
        <f t="shared" si="14"/>
        <v>12</v>
      </c>
      <c r="R91" s="170">
        <f t="shared" si="14"/>
        <v>13</v>
      </c>
      <c r="S91" s="170">
        <f t="shared" si="14"/>
        <v>14</v>
      </c>
      <c r="T91" s="170">
        <f t="shared" si="14"/>
        <v>15</v>
      </c>
      <c r="U91" s="170">
        <f t="shared" si="14"/>
        <v>16</v>
      </c>
      <c r="V91" s="170">
        <f t="shared" si="14"/>
        <v>17</v>
      </c>
      <c r="W91" s="170">
        <f t="shared" si="14"/>
        <v>18</v>
      </c>
      <c r="X91" s="170">
        <f t="shared" si="14"/>
        <v>19</v>
      </c>
      <c r="Y91" s="170">
        <f t="shared" si="14"/>
        <v>20</v>
      </c>
      <c r="Z91" s="170">
        <f t="shared" si="14"/>
        <v>21</v>
      </c>
      <c r="AA91" s="170">
        <f t="shared" si="14"/>
        <v>22</v>
      </c>
      <c r="AB91" s="170">
        <f t="shared" si="14"/>
        <v>23</v>
      </c>
      <c r="AC91" s="170">
        <f t="shared" si="14"/>
        <v>24</v>
      </c>
      <c r="AD91" s="170">
        <f t="shared" si="14"/>
        <v>25</v>
      </c>
      <c r="AE91" s="170">
        <f t="shared" si="14"/>
        <v>26</v>
      </c>
      <c r="AF91" s="170">
        <f t="shared" si="14"/>
        <v>27</v>
      </c>
      <c r="AG91" s="170">
        <f t="shared" si="14"/>
        <v>28</v>
      </c>
      <c r="AH91" s="170">
        <f t="shared" si="14"/>
        <v>29</v>
      </c>
      <c r="AI91" s="170">
        <f t="shared" si="14"/>
        <v>30</v>
      </c>
      <c r="AJ91" s="170">
        <f t="shared" si="14"/>
        <v>31</v>
      </c>
      <c r="AK91" s="170">
        <f t="shared" si="14"/>
        <v>32</v>
      </c>
      <c r="AL91" s="170">
        <f t="shared" si="14"/>
        <v>33</v>
      </c>
      <c r="AM91" s="170">
        <f t="shared" si="14"/>
        <v>34</v>
      </c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</row>
    <row r="92" spans="1:80" x14ac:dyDescent="0.3">
      <c r="A92" s="47"/>
      <c r="B92" s="47"/>
      <c r="C92" s="47"/>
      <c r="D92" s="10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O92" s="44"/>
      <c r="AP92" s="44"/>
      <c r="AQ92" s="44"/>
      <c r="AR92" s="44"/>
      <c r="AS92" s="4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  <c r="BF92" s="44"/>
      <c r="BG92" s="44"/>
      <c r="BH92" s="44"/>
      <c r="BI92" s="44"/>
      <c r="BJ92" s="44"/>
      <c r="BK92" s="44"/>
      <c r="BL92" s="44"/>
      <c r="BM92" s="44"/>
      <c r="BN92" s="44"/>
      <c r="BO92" s="44"/>
      <c r="BP92" s="44"/>
      <c r="BQ92" s="44"/>
      <c r="BR92" s="44"/>
      <c r="BS92" s="44"/>
      <c r="BT92" s="44"/>
      <c r="BU92" s="44"/>
      <c r="BV92" s="44"/>
      <c r="BW92" s="44"/>
      <c r="BX92" s="44"/>
      <c r="BY92" s="44"/>
      <c r="BZ92" s="44"/>
      <c r="CA92" s="44"/>
      <c r="CB92" s="44"/>
    </row>
    <row r="93" spans="1:80" x14ac:dyDescent="0.3">
      <c r="A93" s="47"/>
      <c r="B93" s="47"/>
      <c r="C93" s="47"/>
      <c r="D93" s="437" t="s">
        <v>157</v>
      </c>
      <c r="E93" s="437" t="s">
        <v>158</v>
      </c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O93" s="44"/>
      <c r="AP93" s="44"/>
      <c r="AQ93" s="44"/>
      <c r="AR93" s="44"/>
      <c r="AS93" s="4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  <c r="BF93" s="44"/>
      <c r="BG93" s="44"/>
      <c r="BH93" s="44"/>
      <c r="BI93" s="44"/>
      <c r="BJ93" s="44"/>
      <c r="BK93" s="44"/>
      <c r="BL93" s="44"/>
      <c r="BM93" s="44"/>
      <c r="BN93" s="44"/>
      <c r="BO93" s="44"/>
      <c r="BP93" s="44"/>
      <c r="BQ93" s="44"/>
      <c r="BR93" s="44"/>
      <c r="BS93" s="44"/>
      <c r="BT93" s="44"/>
      <c r="BU93" s="44"/>
      <c r="BV93" s="44"/>
      <c r="BW93" s="44"/>
      <c r="BX93" s="44"/>
      <c r="BY93" s="44"/>
      <c r="BZ93" s="44"/>
      <c r="CA93" s="44"/>
      <c r="CB93" s="44"/>
    </row>
    <row r="94" spans="1:80" x14ac:dyDescent="0.3">
      <c r="A94" s="47"/>
      <c r="B94" s="47"/>
      <c r="C94" s="47" t="s">
        <v>188</v>
      </c>
      <c r="D94" s="129">
        <f>D78</f>
        <v>42156</v>
      </c>
      <c r="E94" s="255">
        <f>E78</f>
        <v>43465</v>
      </c>
      <c r="F94" s="256">
        <f t="shared" ref="F94:Z94" si="15">IF(AND(F89&lt;&gt;0,G89=0),1,0)</f>
        <v>0</v>
      </c>
      <c r="G94" s="256">
        <f t="shared" si="15"/>
        <v>0</v>
      </c>
      <c r="H94" s="256">
        <f t="shared" si="15"/>
        <v>0</v>
      </c>
      <c r="I94" s="256">
        <f t="shared" si="15"/>
        <v>1</v>
      </c>
      <c r="J94" s="256">
        <f t="shared" si="15"/>
        <v>0</v>
      </c>
      <c r="K94" s="256">
        <f t="shared" si="15"/>
        <v>0</v>
      </c>
      <c r="L94" s="256">
        <f t="shared" si="15"/>
        <v>0</v>
      </c>
      <c r="M94" s="256">
        <f t="shared" si="15"/>
        <v>0</v>
      </c>
      <c r="N94" s="256">
        <f t="shared" si="15"/>
        <v>0</v>
      </c>
      <c r="O94" s="256">
        <f t="shared" si="15"/>
        <v>0</v>
      </c>
      <c r="P94" s="256">
        <f t="shared" si="15"/>
        <v>0</v>
      </c>
      <c r="Q94" s="256">
        <f t="shared" si="15"/>
        <v>0</v>
      </c>
      <c r="R94" s="256">
        <f t="shared" si="15"/>
        <v>0</v>
      </c>
      <c r="S94" s="256">
        <f t="shared" si="15"/>
        <v>0</v>
      </c>
      <c r="T94" s="256">
        <f t="shared" si="15"/>
        <v>0</v>
      </c>
      <c r="U94" s="256">
        <f t="shared" si="15"/>
        <v>0</v>
      </c>
      <c r="V94" s="256">
        <f t="shared" si="15"/>
        <v>0</v>
      </c>
      <c r="W94" s="256">
        <f t="shared" si="15"/>
        <v>0</v>
      </c>
      <c r="X94" s="256">
        <f t="shared" si="15"/>
        <v>0</v>
      </c>
      <c r="Y94" s="256">
        <f t="shared" si="15"/>
        <v>0</v>
      </c>
      <c r="Z94" s="256">
        <f t="shared" si="15"/>
        <v>0</v>
      </c>
      <c r="AA94" s="256">
        <f t="shared" ref="AA94:AM94" si="16">IF(AND(AA89&lt;&gt;0,AD89=0),1,0)</f>
        <v>0</v>
      </c>
      <c r="AB94" s="256">
        <f t="shared" si="16"/>
        <v>0</v>
      </c>
      <c r="AC94" s="256">
        <f t="shared" si="16"/>
        <v>0</v>
      </c>
      <c r="AD94" s="256">
        <f t="shared" si="16"/>
        <v>0</v>
      </c>
      <c r="AE94" s="256">
        <f t="shared" si="16"/>
        <v>0</v>
      </c>
      <c r="AF94" s="256">
        <f t="shared" si="16"/>
        <v>0</v>
      </c>
      <c r="AG94" s="256">
        <f t="shared" si="16"/>
        <v>0</v>
      </c>
      <c r="AH94" s="256">
        <f t="shared" si="16"/>
        <v>0</v>
      </c>
      <c r="AI94" s="256">
        <f t="shared" si="16"/>
        <v>0</v>
      </c>
      <c r="AJ94" s="256">
        <f t="shared" si="16"/>
        <v>0</v>
      </c>
      <c r="AK94" s="256">
        <f t="shared" si="16"/>
        <v>0</v>
      </c>
      <c r="AL94" s="256">
        <f t="shared" si="16"/>
        <v>0</v>
      </c>
      <c r="AM94" s="256">
        <f t="shared" si="16"/>
        <v>0</v>
      </c>
      <c r="AO94" s="44"/>
      <c r="AP94" s="44"/>
      <c r="AQ94" s="44"/>
      <c r="AR94" s="44"/>
      <c r="AS94" s="4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  <c r="BF94" s="44"/>
      <c r="BG94" s="44"/>
      <c r="BH94" s="44"/>
      <c r="BI94" s="44"/>
      <c r="BJ94" s="44"/>
      <c r="BK94" s="44"/>
      <c r="BL94" s="44"/>
      <c r="BM94" s="44"/>
      <c r="BN94" s="44"/>
      <c r="BO94" s="44"/>
      <c r="BP94" s="44"/>
      <c r="BQ94" s="44"/>
      <c r="BR94" s="44"/>
      <c r="BS94" s="44"/>
      <c r="BT94" s="44"/>
      <c r="BU94" s="44"/>
      <c r="BV94" s="44"/>
      <c r="BW94" s="44"/>
      <c r="BX94" s="44"/>
      <c r="BY94" s="44"/>
      <c r="BZ94" s="44"/>
      <c r="CA94" s="44"/>
      <c r="CB94" s="44"/>
    </row>
    <row r="95" spans="1:80" x14ac:dyDescent="0.3">
      <c r="A95" s="47"/>
      <c r="B95" s="47"/>
      <c r="C95" s="47"/>
      <c r="D95" s="10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7"/>
      <c r="AL95" s="47"/>
      <c r="AM95" s="47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</row>
    <row r="96" spans="1:80" x14ac:dyDescent="0.3">
      <c r="A96" s="47"/>
      <c r="B96" s="47"/>
      <c r="C96" s="47"/>
      <c r="D96" s="437" t="s">
        <v>157</v>
      </c>
      <c r="E96" s="437" t="s">
        <v>158</v>
      </c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7"/>
      <c r="AL96" s="47"/>
      <c r="AM96" s="47"/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</row>
    <row r="97" spans="1:80" x14ac:dyDescent="0.3">
      <c r="A97" s="47"/>
      <c r="B97" s="47"/>
      <c r="C97" s="376" t="s">
        <v>306</v>
      </c>
      <c r="D97" s="129">
        <f>E44</f>
        <v>42735</v>
      </c>
      <c r="E97" s="255">
        <f>E46</f>
        <v>48213</v>
      </c>
      <c r="F97" s="257">
        <f t="shared" ref="F97:AM97" si="17">IF(AND(F77&gt;=$D97,F77&lt;=$E97),1,0)</f>
        <v>0</v>
      </c>
      <c r="G97" s="257">
        <f t="shared" si="17"/>
        <v>1</v>
      </c>
      <c r="H97" s="257">
        <f t="shared" si="17"/>
        <v>1</v>
      </c>
      <c r="I97" s="257">
        <f t="shared" si="17"/>
        <v>1</v>
      </c>
      <c r="J97" s="257">
        <f t="shared" si="17"/>
        <v>1</v>
      </c>
      <c r="K97" s="257">
        <f t="shared" si="17"/>
        <v>1</v>
      </c>
      <c r="L97" s="257">
        <f t="shared" si="17"/>
        <v>1</v>
      </c>
      <c r="M97" s="257">
        <f t="shared" si="17"/>
        <v>1</v>
      </c>
      <c r="N97" s="257">
        <f t="shared" si="17"/>
        <v>1</v>
      </c>
      <c r="O97" s="257">
        <f t="shared" si="17"/>
        <v>1</v>
      </c>
      <c r="P97" s="257">
        <f t="shared" si="17"/>
        <v>1</v>
      </c>
      <c r="Q97" s="257">
        <f t="shared" si="17"/>
        <v>1</v>
      </c>
      <c r="R97" s="257">
        <f t="shared" si="17"/>
        <v>1</v>
      </c>
      <c r="S97" s="257">
        <f t="shared" si="17"/>
        <v>1</v>
      </c>
      <c r="T97" s="257">
        <f t="shared" si="17"/>
        <v>1</v>
      </c>
      <c r="U97" s="257">
        <f t="shared" si="17"/>
        <v>1</v>
      </c>
      <c r="V97" s="257">
        <f t="shared" si="17"/>
        <v>1</v>
      </c>
      <c r="W97" s="257">
        <f t="shared" si="17"/>
        <v>0</v>
      </c>
      <c r="X97" s="257">
        <f t="shared" si="17"/>
        <v>0</v>
      </c>
      <c r="Y97" s="257">
        <f t="shared" si="17"/>
        <v>0</v>
      </c>
      <c r="Z97" s="257">
        <f t="shared" si="17"/>
        <v>0</v>
      </c>
      <c r="AA97" s="257">
        <f t="shared" si="17"/>
        <v>0</v>
      </c>
      <c r="AB97" s="257">
        <f t="shared" si="17"/>
        <v>0</v>
      </c>
      <c r="AC97" s="257">
        <f t="shared" si="17"/>
        <v>0</v>
      </c>
      <c r="AD97" s="257">
        <f t="shared" si="17"/>
        <v>0</v>
      </c>
      <c r="AE97" s="257">
        <f t="shared" si="17"/>
        <v>0</v>
      </c>
      <c r="AF97" s="257">
        <f t="shared" si="17"/>
        <v>0</v>
      </c>
      <c r="AG97" s="257">
        <f t="shared" si="17"/>
        <v>0</v>
      </c>
      <c r="AH97" s="257">
        <f t="shared" si="17"/>
        <v>0</v>
      </c>
      <c r="AI97" s="257">
        <f t="shared" si="17"/>
        <v>0</v>
      </c>
      <c r="AJ97" s="257">
        <f t="shared" si="17"/>
        <v>0</v>
      </c>
      <c r="AK97" s="257">
        <f t="shared" si="17"/>
        <v>0</v>
      </c>
      <c r="AL97" s="257">
        <f t="shared" si="17"/>
        <v>0</v>
      </c>
      <c r="AM97" s="257">
        <f t="shared" si="17"/>
        <v>0</v>
      </c>
      <c r="AO97" s="44"/>
      <c r="AP97" s="44"/>
      <c r="AQ97" s="44"/>
      <c r="AR97" s="44"/>
      <c r="AS97" s="4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  <c r="BF97" s="44"/>
      <c r="BG97" s="44"/>
      <c r="BH97" s="44"/>
      <c r="BI97" s="44"/>
      <c r="BJ97" s="44"/>
      <c r="BK97" s="44"/>
      <c r="BL97" s="44"/>
      <c r="BM97" s="44"/>
      <c r="BN97" s="44"/>
      <c r="BO97" s="44"/>
      <c r="BP97" s="44"/>
      <c r="BQ97" s="44"/>
      <c r="BR97" s="44"/>
      <c r="BS97" s="44"/>
      <c r="BT97" s="44"/>
      <c r="BU97" s="44"/>
      <c r="BV97" s="44"/>
      <c r="BW97" s="44"/>
      <c r="BX97" s="44"/>
      <c r="BY97" s="44"/>
      <c r="BZ97" s="44"/>
      <c r="CA97" s="44"/>
      <c r="CB97" s="44"/>
    </row>
    <row r="98" spans="1:80" x14ac:dyDescent="0.3">
      <c r="A98" s="47"/>
      <c r="B98" s="47"/>
      <c r="C98" s="47" t="s">
        <v>304</v>
      </c>
      <c r="D98" s="129">
        <f>E38</f>
        <v>43830</v>
      </c>
      <c r="E98" s="255">
        <f>E40</f>
        <v>49309</v>
      </c>
      <c r="F98" s="257">
        <f t="shared" ref="F98:AM98" si="18">IF(AND(F77&gt;=$D98,F77&lt;=$E98),1,0)</f>
        <v>0</v>
      </c>
      <c r="G98" s="257">
        <f t="shared" si="18"/>
        <v>0</v>
      </c>
      <c r="H98" s="257">
        <f t="shared" si="18"/>
        <v>0</v>
      </c>
      <c r="I98" s="257">
        <f t="shared" si="18"/>
        <v>0</v>
      </c>
      <c r="J98" s="257">
        <f t="shared" si="18"/>
        <v>1</v>
      </c>
      <c r="K98" s="257">
        <f t="shared" si="18"/>
        <v>1</v>
      </c>
      <c r="L98" s="257">
        <f t="shared" si="18"/>
        <v>1</v>
      </c>
      <c r="M98" s="257">
        <f t="shared" si="18"/>
        <v>1</v>
      </c>
      <c r="N98" s="257">
        <f t="shared" si="18"/>
        <v>1</v>
      </c>
      <c r="O98" s="257">
        <f t="shared" si="18"/>
        <v>1</v>
      </c>
      <c r="P98" s="257">
        <f t="shared" si="18"/>
        <v>1</v>
      </c>
      <c r="Q98" s="257">
        <f t="shared" si="18"/>
        <v>1</v>
      </c>
      <c r="R98" s="257">
        <f t="shared" si="18"/>
        <v>1</v>
      </c>
      <c r="S98" s="257">
        <f t="shared" si="18"/>
        <v>1</v>
      </c>
      <c r="T98" s="257">
        <f t="shared" si="18"/>
        <v>1</v>
      </c>
      <c r="U98" s="257">
        <f t="shared" si="18"/>
        <v>1</v>
      </c>
      <c r="V98" s="257">
        <f t="shared" si="18"/>
        <v>1</v>
      </c>
      <c r="W98" s="257">
        <f t="shared" si="18"/>
        <v>1</v>
      </c>
      <c r="X98" s="257">
        <f t="shared" si="18"/>
        <v>1</v>
      </c>
      <c r="Y98" s="257">
        <f t="shared" si="18"/>
        <v>1</v>
      </c>
      <c r="Z98" s="257">
        <f t="shared" si="18"/>
        <v>0</v>
      </c>
      <c r="AA98" s="257">
        <f t="shared" si="18"/>
        <v>0</v>
      </c>
      <c r="AB98" s="257">
        <f t="shared" si="18"/>
        <v>0</v>
      </c>
      <c r="AC98" s="257">
        <f t="shared" si="18"/>
        <v>0</v>
      </c>
      <c r="AD98" s="257">
        <f t="shared" si="18"/>
        <v>0</v>
      </c>
      <c r="AE98" s="257">
        <f t="shared" si="18"/>
        <v>0</v>
      </c>
      <c r="AF98" s="257">
        <f t="shared" si="18"/>
        <v>0</v>
      </c>
      <c r="AG98" s="257">
        <f t="shared" si="18"/>
        <v>0</v>
      </c>
      <c r="AH98" s="257">
        <f t="shared" si="18"/>
        <v>0</v>
      </c>
      <c r="AI98" s="257">
        <f t="shared" si="18"/>
        <v>0</v>
      </c>
      <c r="AJ98" s="257">
        <f t="shared" si="18"/>
        <v>0</v>
      </c>
      <c r="AK98" s="257">
        <f t="shared" si="18"/>
        <v>0</v>
      </c>
      <c r="AL98" s="257">
        <f t="shared" si="18"/>
        <v>0</v>
      </c>
      <c r="AM98" s="257">
        <f t="shared" si="18"/>
        <v>0</v>
      </c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  <c r="BF98" s="44"/>
      <c r="BG98" s="44"/>
      <c r="BH98" s="44"/>
      <c r="BI98" s="44"/>
      <c r="BJ98" s="44"/>
      <c r="BK98" s="44"/>
      <c r="BL98" s="44"/>
      <c r="BM98" s="44"/>
      <c r="BN98" s="44"/>
      <c r="BO98" s="44"/>
      <c r="BP98" s="44"/>
      <c r="BQ98" s="44"/>
      <c r="BR98" s="44"/>
      <c r="BS98" s="44"/>
      <c r="BT98" s="44"/>
      <c r="BU98" s="44"/>
      <c r="BV98" s="44"/>
      <c r="BW98" s="44"/>
      <c r="BX98" s="44"/>
      <c r="BY98" s="44"/>
      <c r="BZ98" s="44"/>
      <c r="CA98" s="44"/>
      <c r="CB98" s="44"/>
    </row>
    <row r="99" spans="1:80" x14ac:dyDescent="0.3">
      <c r="A99" s="47"/>
      <c r="B99" s="47"/>
      <c r="C99" s="47"/>
      <c r="D99" s="128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47"/>
      <c r="AE99" s="44"/>
      <c r="AF99" s="44"/>
      <c r="AG99" s="44"/>
      <c r="AH99" s="44"/>
      <c r="AI99" s="44"/>
      <c r="AJ99" s="44"/>
      <c r="AK99" s="44"/>
      <c r="AL99" s="44"/>
      <c r="AM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</row>
    <row r="100" spans="1:80" ht="15" thickBot="1" x14ac:dyDescent="0.35">
      <c r="A100" s="47"/>
      <c r="B100" s="47"/>
      <c r="C100" s="47"/>
      <c r="D100" s="128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  <c r="X100" s="155"/>
      <c r="Y100" s="155"/>
      <c r="Z100" s="155"/>
      <c r="AA100" s="155"/>
      <c r="AB100" s="155"/>
      <c r="AC100" s="155"/>
      <c r="AD100" s="47"/>
      <c r="AE100" s="44"/>
      <c r="AF100" s="44"/>
      <c r="AG100" s="44"/>
      <c r="AH100" s="44"/>
      <c r="AI100" s="44"/>
      <c r="AJ100" s="44"/>
      <c r="AK100" s="44"/>
      <c r="AL100" s="44"/>
      <c r="AM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  <c r="BF100" s="44"/>
      <c r="BG100" s="44"/>
      <c r="BH100" s="44"/>
      <c r="BI100" s="44"/>
      <c r="BJ100" s="44"/>
      <c r="BK100" s="44"/>
      <c r="BL100" s="44"/>
      <c r="BM100" s="44"/>
      <c r="BN100" s="44"/>
      <c r="BO100" s="44"/>
      <c r="BP100" s="44"/>
      <c r="BQ100" s="44"/>
      <c r="BR100" s="44"/>
      <c r="BS100" s="44"/>
      <c r="BT100" s="44"/>
      <c r="BU100" s="44"/>
      <c r="BV100" s="44"/>
      <c r="BW100" s="44"/>
      <c r="BX100" s="44"/>
      <c r="BY100" s="44"/>
      <c r="BZ100" s="44"/>
      <c r="CA100" s="44"/>
      <c r="CB100" s="44"/>
    </row>
    <row r="101" spans="1:80" ht="21.6" thickBot="1" x14ac:dyDescent="0.45">
      <c r="A101" s="47"/>
      <c r="B101" s="47"/>
      <c r="C101" s="237" t="s">
        <v>227</v>
      </c>
      <c r="D101" s="238"/>
      <c r="E101" s="239"/>
      <c r="F101" s="239"/>
      <c r="G101" s="239"/>
      <c r="H101" s="239"/>
      <c r="I101" s="239"/>
      <c r="J101" s="239"/>
      <c r="K101" s="239"/>
      <c r="L101" s="239"/>
      <c r="M101" s="239"/>
      <c r="N101" s="239"/>
      <c r="O101" s="239"/>
      <c r="P101" s="239"/>
      <c r="Q101" s="239"/>
      <c r="R101" s="239"/>
      <c r="S101" s="239"/>
      <c r="T101" s="239"/>
      <c r="U101" s="239"/>
      <c r="V101" s="239"/>
      <c r="W101" s="239"/>
      <c r="X101" s="239"/>
      <c r="Y101" s="239"/>
      <c r="Z101" s="239"/>
      <c r="AA101" s="239"/>
      <c r="AB101" s="239"/>
      <c r="AC101" s="23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40"/>
      <c r="AO101" s="44"/>
      <c r="AP101" s="44"/>
      <c r="AQ101" s="44"/>
      <c r="AR101" s="44"/>
      <c r="AS101" s="4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  <c r="BF101" s="44"/>
      <c r="BG101" s="44"/>
      <c r="BH101" s="44"/>
      <c r="BI101" s="44"/>
      <c r="BJ101" s="44"/>
      <c r="BK101" s="44"/>
      <c r="BL101" s="44"/>
      <c r="BM101" s="44"/>
      <c r="BN101" s="44"/>
      <c r="BO101" s="44"/>
      <c r="BP101" s="44"/>
      <c r="BQ101" s="44"/>
      <c r="BR101" s="44"/>
      <c r="BS101" s="44"/>
      <c r="BT101" s="44"/>
      <c r="BU101" s="44"/>
      <c r="BV101" s="44"/>
      <c r="BW101" s="44"/>
      <c r="BX101" s="44"/>
      <c r="BY101" s="44"/>
      <c r="BZ101" s="44"/>
      <c r="CA101" s="44"/>
      <c r="CB101" s="44"/>
    </row>
    <row r="102" spans="1:80" x14ac:dyDescent="0.3">
      <c r="A102" s="47"/>
      <c r="B102" s="47"/>
      <c r="C102" s="47"/>
      <c r="D102" s="128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  <c r="X102" s="155"/>
      <c r="Y102" s="155"/>
      <c r="Z102" s="155"/>
      <c r="AA102" s="155"/>
      <c r="AB102" s="155"/>
      <c r="AC102" s="155"/>
      <c r="AD102" s="47"/>
      <c r="AE102" s="44"/>
      <c r="AF102" s="44"/>
      <c r="AG102" s="44"/>
      <c r="AH102" s="44"/>
      <c r="AI102" s="44"/>
      <c r="AJ102" s="44"/>
      <c r="AK102" s="44"/>
      <c r="AL102" s="44"/>
      <c r="AM102" s="44"/>
      <c r="AO102" s="44"/>
      <c r="AP102" s="44"/>
      <c r="AQ102" s="44"/>
      <c r="AR102" s="44"/>
      <c r="AS102" s="4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  <c r="BF102" s="44"/>
      <c r="BG102" s="44"/>
      <c r="BH102" s="44"/>
      <c r="BI102" s="44"/>
      <c r="BJ102" s="44"/>
      <c r="BK102" s="44"/>
      <c r="BL102" s="44"/>
      <c r="BM102" s="44"/>
      <c r="BN102" s="44"/>
      <c r="BO102" s="44"/>
      <c r="BP102" s="44"/>
      <c r="BQ102" s="44"/>
      <c r="BR102" s="44"/>
      <c r="BS102" s="44"/>
      <c r="BT102" s="44"/>
      <c r="BU102" s="44"/>
      <c r="BV102" s="44"/>
      <c r="BW102" s="44"/>
      <c r="BX102" s="44"/>
      <c r="BY102" s="44"/>
      <c r="BZ102" s="44"/>
      <c r="CA102" s="44"/>
      <c r="CB102" s="44"/>
    </row>
    <row r="103" spans="1:80" ht="21.6" x14ac:dyDescent="0.4">
      <c r="A103" s="47"/>
      <c r="B103" s="47"/>
      <c r="C103" s="106" t="s">
        <v>143</v>
      </c>
      <c r="D103" s="110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N103" s="44"/>
      <c r="AO103" s="44"/>
      <c r="AP103" s="44"/>
      <c r="AQ103" s="44"/>
      <c r="AR103" s="44"/>
      <c r="AS103" s="4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  <c r="BF103" s="44"/>
      <c r="BG103" s="44"/>
      <c r="BH103" s="44"/>
      <c r="BI103" s="44"/>
      <c r="BJ103" s="44"/>
      <c r="BK103" s="44"/>
      <c r="BL103" s="44"/>
      <c r="BM103" s="44"/>
      <c r="BN103" s="44"/>
      <c r="BO103" s="44"/>
      <c r="BP103" s="44"/>
      <c r="BQ103" s="44"/>
      <c r="BR103" s="44"/>
      <c r="BS103" s="44"/>
      <c r="BT103" s="44"/>
      <c r="BU103" s="44"/>
      <c r="BV103" s="44"/>
      <c r="BW103" s="44"/>
      <c r="BX103" s="44"/>
      <c r="BY103" s="44"/>
      <c r="BZ103" s="44"/>
      <c r="CA103" s="44"/>
      <c r="CB103" s="44"/>
    </row>
    <row r="104" spans="1:80" ht="16.8" x14ac:dyDescent="0.3">
      <c r="A104" s="125"/>
      <c r="B104" s="125"/>
      <c r="C104" s="125" t="s">
        <v>159</v>
      </c>
      <c r="D104" s="112"/>
      <c r="E104" s="162"/>
      <c r="F104" s="268"/>
      <c r="G104" s="268"/>
      <c r="H104" s="268"/>
      <c r="I104" s="268"/>
      <c r="J104" s="268"/>
      <c r="K104" s="268"/>
      <c r="L104" s="268"/>
      <c r="M104" s="268"/>
      <c r="N104" s="268"/>
      <c r="O104" s="268"/>
      <c r="P104" s="268"/>
      <c r="Q104" s="268"/>
      <c r="R104" s="268"/>
      <c r="S104" s="268"/>
      <c r="T104" s="268"/>
      <c r="U104" s="268"/>
      <c r="V104" s="268"/>
      <c r="W104" s="268"/>
      <c r="X104" s="268"/>
      <c r="Y104" s="268"/>
      <c r="Z104" s="268"/>
      <c r="AA104" s="268"/>
      <c r="AB104" s="268"/>
      <c r="AC104" s="268"/>
      <c r="AD104" s="268"/>
      <c r="AE104" s="269"/>
      <c r="AF104" s="269"/>
      <c r="AG104" s="269"/>
      <c r="AH104" s="269"/>
      <c r="AI104" s="269"/>
      <c r="AJ104" s="269"/>
      <c r="AK104" s="269"/>
      <c r="AL104" s="269"/>
      <c r="AM104" s="269"/>
      <c r="AN104" s="44"/>
      <c r="AO104" s="44"/>
      <c r="AP104" s="44"/>
      <c r="AQ104" s="44"/>
      <c r="AR104" s="44"/>
      <c r="AS104" s="4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  <c r="BF104" s="44"/>
      <c r="BG104" s="44"/>
      <c r="BH104" s="44"/>
      <c r="BI104" s="44"/>
      <c r="BJ104" s="44"/>
      <c r="BK104" s="44"/>
      <c r="BL104" s="44"/>
      <c r="BM104" s="44"/>
      <c r="BN104" s="44"/>
      <c r="BO104" s="44"/>
      <c r="BP104" s="44"/>
      <c r="BQ104" s="44"/>
      <c r="BR104" s="44"/>
      <c r="BS104" s="44"/>
      <c r="BT104" s="44"/>
      <c r="BU104" s="44"/>
      <c r="BV104" s="44"/>
      <c r="BW104" s="44"/>
      <c r="BX104" s="44"/>
      <c r="BY104" s="44"/>
      <c r="BZ104" s="44"/>
      <c r="CA104" s="44"/>
      <c r="CB104" s="44"/>
    </row>
    <row r="105" spans="1:80" s="132" customFormat="1" x14ac:dyDescent="0.3">
      <c r="A105" s="47"/>
      <c r="B105" s="47"/>
      <c r="C105" s="47" t="s">
        <v>131</v>
      </c>
      <c r="D105" s="156" t="s">
        <v>214</v>
      </c>
      <c r="E105" s="164">
        <f>SUM(F105:AM105)</f>
        <v>170011097.07224563</v>
      </c>
      <c r="F105" s="177">
        <f>-'Global Financial Model'!C96</f>
        <v>8360014.1385935172</v>
      </c>
      <c r="G105" s="177">
        <f>-'Global Financial Model'!D96</f>
        <v>34483054.24129875</v>
      </c>
      <c r="H105" s="177">
        <f>-'Global Financial Model'!E96</f>
        <v>90904330.469175875</v>
      </c>
      <c r="I105" s="177">
        <f>-'Global Financial Model'!F96</f>
        <v>36263698.223177493</v>
      </c>
      <c r="J105" s="177">
        <f>-'Global Financial Model'!G96</f>
        <v>0</v>
      </c>
      <c r="K105" s="177">
        <f>-'Global Financial Model'!H96</f>
        <v>0</v>
      </c>
      <c r="L105" s="177">
        <f>-'Global Financial Model'!I96</f>
        <v>0</v>
      </c>
      <c r="M105" s="177">
        <f>-'Global Financial Model'!J96</f>
        <v>0</v>
      </c>
      <c r="N105" s="177">
        <f>-'Global Financial Model'!K96</f>
        <v>0</v>
      </c>
      <c r="O105" s="177">
        <f>-'Global Financial Model'!L96</f>
        <v>0</v>
      </c>
      <c r="P105" s="177">
        <f>-'Global Financial Model'!M96</f>
        <v>0</v>
      </c>
      <c r="Q105" s="177">
        <f>-'Global Financial Model'!N96</f>
        <v>0</v>
      </c>
      <c r="R105" s="177">
        <f>-'Global Financial Model'!O96</f>
        <v>0</v>
      </c>
      <c r="S105" s="177">
        <f>-'Global Financial Model'!P96</f>
        <v>0</v>
      </c>
      <c r="T105" s="177">
        <f>-'Global Financial Model'!Q96</f>
        <v>0</v>
      </c>
      <c r="U105" s="177">
        <f>-'Global Financial Model'!R96</f>
        <v>0</v>
      </c>
      <c r="V105" s="177">
        <f>-'Global Financial Model'!S96</f>
        <v>0</v>
      </c>
      <c r="W105" s="177">
        <f>-'Global Financial Model'!T96</f>
        <v>0</v>
      </c>
      <c r="X105" s="177">
        <f>-'Global Financial Model'!U96</f>
        <v>0</v>
      </c>
      <c r="Y105" s="177">
        <f>-'Global Financial Model'!V96</f>
        <v>0</v>
      </c>
      <c r="Z105" s="177">
        <f>-'Global Financial Model'!W96</f>
        <v>0</v>
      </c>
      <c r="AA105" s="177">
        <f>-'Global Financial Model'!X96</f>
        <v>0</v>
      </c>
      <c r="AB105" s="177">
        <f>-'Global Financial Model'!Y96</f>
        <v>0</v>
      </c>
      <c r="AC105" s="177">
        <f>-'Global Financial Model'!Z96</f>
        <v>0</v>
      </c>
      <c r="AD105" s="177">
        <f>-'Global Financial Model'!AA96</f>
        <v>0</v>
      </c>
      <c r="AE105" s="177">
        <f>-'Global Financial Model'!AB96</f>
        <v>0</v>
      </c>
      <c r="AF105" s="177">
        <f>-'Global Financial Model'!AC96</f>
        <v>0</v>
      </c>
      <c r="AG105" s="177">
        <f>-'Global Financial Model'!AD96</f>
        <v>0</v>
      </c>
      <c r="AH105" s="177">
        <f>-'Global Financial Model'!AE96</f>
        <v>0</v>
      </c>
      <c r="AI105" s="177">
        <f>-'Global Financial Model'!AF96</f>
        <v>0</v>
      </c>
      <c r="AJ105" s="177">
        <f>-'Global Financial Model'!AG96</f>
        <v>0</v>
      </c>
      <c r="AK105" s="177">
        <f>-'Global Financial Model'!AH96</f>
        <v>0</v>
      </c>
      <c r="AL105" s="177">
        <f>-'Global Financial Model'!AI96</f>
        <v>0</v>
      </c>
      <c r="AM105" s="177">
        <f>-'Global Financial Model'!AJ96</f>
        <v>0</v>
      </c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  <c r="BZ105" s="44"/>
      <c r="CA105" s="44"/>
      <c r="CB105" s="44"/>
    </row>
    <row r="106" spans="1:80" s="132" customFormat="1" x14ac:dyDescent="0.3">
      <c r="A106" s="47"/>
      <c r="B106" s="47"/>
      <c r="C106" s="47" t="s">
        <v>211</v>
      </c>
      <c r="D106" s="156" t="s">
        <v>215</v>
      </c>
      <c r="E106" s="164">
        <f>SUM(F106:AM106)</f>
        <v>31918674.464747641</v>
      </c>
      <c r="F106" s="270">
        <f>-'Global Financial Model'!C97</f>
        <v>0</v>
      </c>
      <c r="G106" s="271">
        <f>-'Global Financial Model'!D97</f>
        <v>0</v>
      </c>
      <c r="H106" s="271">
        <f>-'Global Financial Model'!E97</f>
        <v>0</v>
      </c>
      <c r="I106" s="271">
        <f>-'Global Financial Model'!F97</f>
        <v>0</v>
      </c>
      <c r="J106" s="271">
        <f>-'Global Financial Model'!G97</f>
        <v>0</v>
      </c>
      <c r="K106" s="271">
        <f>-'Global Financial Model'!H97</f>
        <v>0</v>
      </c>
      <c r="L106" s="271">
        <f>-'Global Financial Model'!I97</f>
        <v>0</v>
      </c>
      <c r="M106" s="271">
        <f>-'Global Financial Model'!J97</f>
        <v>0</v>
      </c>
      <c r="N106" s="271">
        <f>-'Global Financial Model'!K97</f>
        <v>0</v>
      </c>
      <c r="O106" s="271">
        <f>-'Global Financial Model'!L97</f>
        <v>0</v>
      </c>
      <c r="P106" s="271">
        <f>-'Global Financial Model'!M97</f>
        <v>0</v>
      </c>
      <c r="Q106" s="271">
        <f>-'Global Financial Model'!N97</f>
        <v>0</v>
      </c>
      <c r="R106" s="271">
        <f>-'Global Financial Model'!O97</f>
        <v>0</v>
      </c>
      <c r="S106" s="271">
        <f>-'Global Financial Model'!P97</f>
        <v>2785806.5330999955</v>
      </c>
      <c r="T106" s="271">
        <f>-'Global Financial Model'!Q97</f>
        <v>3525445.1348124668</v>
      </c>
      <c r="U106" s="271">
        <f>-'Global Financial Model'!R97</f>
        <v>0</v>
      </c>
      <c r="V106" s="271">
        <f>-'Global Financial Model'!S97</f>
        <v>0</v>
      </c>
      <c r="W106" s="271">
        <f>-'Global Financial Model'!T97</f>
        <v>0</v>
      </c>
      <c r="X106" s="271">
        <f>-'Global Financial Model'!U97</f>
        <v>3236573.2831895668</v>
      </c>
      <c r="Y106" s="271">
        <f>-'Global Financial Model'!V97</f>
        <v>9893542.6600298993</v>
      </c>
      <c r="Z106" s="271">
        <f>-'Global Financial Model'!W97</f>
        <v>4645828.0030432567</v>
      </c>
      <c r="AA106" s="271">
        <f>-'Global Financial Model'!X97</f>
        <v>0</v>
      </c>
      <c r="AB106" s="271">
        <f>-'Global Financial Model'!Y97</f>
        <v>0</v>
      </c>
      <c r="AC106" s="271">
        <f>-'Global Financial Model'!Z97</f>
        <v>0</v>
      </c>
      <c r="AD106" s="271">
        <f>-'Global Financial Model'!AA97</f>
        <v>3456836.540557222</v>
      </c>
      <c r="AE106" s="271">
        <f>-'Global Financial Model'!AB97</f>
        <v>4374642.3100152342</v>
      </c>
      <c r="AF106" s="271">
        <f>-'Global Financial Model'!AC97</f>
        <v>0</v>
      </c>
      <c r="AG106" s="271">
        <f>-'Global Financial Model'!AD97</f>
        <v>0</v>
      </c>
      <c r="AH106" s="271">
        <f>-'Global Financial Model'!AE97</f>
        <v>0</v>
      </c>
      <c r="AI106" s="271">
        <f>-'Global Financial Model'!AF97</f>
        <v>0</v>
      </c>
      <c r="AJ106" s="271">
        <f>-'Global Financial Model'!AG97</f>
        <v>0</v>
      </c>
      <c r="AK106" s="271">
        <f>-'Global Financial Model'!AH97</f>
        <v>0</v>
      </c>
      <c r="AL106" s="271">
        <f>-'Global Financial Model'!AI97</f>
        <v>0</v>
      </c>
      <c r="AM106" s="271">
        <f>-'Global Financial Model'!AJ97</f>
        <v>0</v>
      </c>
      <c r="AN106" s="44"/>
      <c r="AO106" s="44"/>
      <c r="AP106" s="44"/>
      <c r="AQ106" s="44"/>
      <c r="AR106" s="44"/>
      <c r="AS106" s="4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  <c r="BF106" s="44"/>
      <c r="BG106" s="44"/>
      <c r="BH106" s="44"/>
      <c r="BI106" s="44"/>
      <c r="BJ106" s="44"/>
      <c r="BK106" s="44"/>
      <c r="BL106" s="44"/>
      <c r="BM106" s="44"/>
      <c r="BN106" s="44"/>
      <c r="BO106" s="44"/>
      <c r="BP106" s="44"/>
      <c r="BQ106" s="44"/>
      <c r="BR106" s="44"/>
      <c r="BS106" s="44"/>
      <c r="BT106" s="44"/>
      <c r="BU106" s="44"/>
      <c r="BV106" s="44"/>
      <c r="BW106" s="44"/>
      <c r="BX106" s="44"/>
      <c r="BY106" s="44"/>
      <c r="BZ106" s="44"/>
      <c r="CA106" s="44"/>
      <c r="CB106" s="44"/>
    </row>
    <row r="107" spans="1:80" x14ac:dyDescent="0.3">
      <c r="A107" s="47"/>
      <c r="B107" s="47"/>
      <c r="C107" s="47"/>
      <c r="D107" s="107"/>
      <c r="E107" s="161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  <c r="AB107" s="165"/>
      <c r="AC107" s="165"/>
      <c r="AD107" s="165"/>
      <c r="AE107" s="166"/>
      <c r="AF107" s="166"/>
      <c r="AG107" s="166"/>
      <c r="AH107" s="166"/>
      <c r="AI107" s="166"/>
      <c r="AJ107" s="166"/>
      <c r="AK107" s="166"/>
      <c r="AL107" s="166"/>
      <c r="AM107" s="166"/>
      <c r="AN107" s="44"/>
      <c r="AO107" s="44"/>
      <c r="AP107" s="44"/>
      <c r="AQ107" s="44"/>
      <c r="AR107" s="44"/>
      <c r="AS107" s="4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  <c r="BF107" s="44"/>
      <c r="BG107" s="44"/>
      <c r="BH107" s="44"/>
      <c r="BI107" s="44"/>
      <c r="BJ107" s="44"/>
      <c r="BK107" s="44"/>
      <c r="BL107" s="44"/>
      <c r="BM107" s="44"/>
      <c r="BN107" s="44"/>
      <c r="BO107" s="44"/>
      <c r="BP107" s="44"/>
      <c r="BQ107" s="44"/>
      <c r="BR107" s="44"/>
      <c r="BS107" s="44"/>
      <c r="BT107" s="44"/>
      <c r="BU107" s="44"/>
      <c r="BV107" s="44"/>
      <c r="BW107" s="44"/>
      <c r="BX107" s="44"/>
      <c r="BY107" s="44"/>
      <c r="BZ107" s="44"/>
      <c r="CA107" s="44"/>
      <c r="CB107" s="44"/>
    </row>
    <row r="108" spans="1:80" ht="16.8" x14ac:dyDescent="0.3">
      <c r="A108" s="125"/>
      <c r="B108" s="125"/>
      <c r="C108" s="125" t="s">
        <v>160</v>
      </c>
      <c r="D108" s="112"/>
      <c r="E108" s="167"/>
      <c r="F108" s="268"/>
      <c r="G108" s="268"/>
      <c r="H108" s="268"/>
      <c r="I108" s="268"/>
      <c r="J108" s="268"/>
      <c r="K108" s="268"/>
      <c r="L108" s="268"/>
      <c r="M108" s="268"/>
      <c r="N108" s="268"/>
      <c r="O108" s="268"/>
      <c r="P108" s="268"/>
      <c r="Q108" s="268"/>
      <c r="R108" s="268"/>
      <c r="S108" s="268"/>
      <c r="T108" s="268"/>
      <c r="U108" s="268"/>
      <c r="V108" s="268"/>
      <c r="W108" s="268"/>
      <c r="X108" s="268"/>
      <c r="Y108" s="268"/>
      <c r="Z108" s="268"/>
      <c r="AA108" s="268"/>
      <c r="AB108" s="268"/>
      <c r="AC108" s="268"/>
      <c r="AD108" s="268"/>
      <c r="AE108" s="272"/>
      <c r="AF108" s="272"/>
      <c r="AG108" s="272"/>
      <c r="AH108" s="272"/>
      <c r="AI108" s="272"/>
      <c r="AJ108" s="272"/>
      <c r="AK108" s="272"/>
      <c r="AL108" s="272"/>
      <c r="AM108" s="272"/>
      <c r="AN108" s="44"/>
      <c r="AO108" s="44"/>
      <c r="AP108" s="44"/>
      <c r="AQ108" s="44"/>
      <c r="AR108" s="44"/>
      <c r="AS108" s="4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  <c r="BF108" s="44"/>
      <c r="BG108" s="44"/>
      <c r="BH108" s="44"/>
      <c r="BI108" s="44"/>
      <c r="BJ108" s="44"/>
      <c r="BK108" s="44"/>
      <c r="BL108" s="44"/>
      <c r="BM108" s="44"/>
      <c r="BN108" s="44"/>
      <c r="BO108" s="44"/>
      <c r="BP108" s="44"/>
      <c r="BQ108" s="44"/>
      <c r="BR108" s="44"/>
      <c r="BS108" s="44"/>
      <c r="BT108" s="44"/>
      <c r="BU108" s="44"/>
      <c r="BV108" s="44"/>
      <c r="BW108" s="44"/>
      <c r="BX108" s="44"/>
      <c r="BY108" s="44"/>
      <c r="BZ108" s="44"/>
      <c r="CA108" s="44"/>
      <c r="CB108" s="44"/>
    </row>
    <row r="109" spans="1:80" s="132" customFormat="1" x14ac:dyDescent="0.3">
      <c r="A109" s="47"/>
      <c r="B109" s="47"/>
      <c r="C109" s="47" t="s">
        <v>131</v>
      </c>
      <c r="D109" s="156" t="s">
        <v>214</v>
      </c>
      <c r="E109" s="164">
        <f t="shared" ref="E109:E120" si="19">SUM(F109:AM109)</f>
        <v>170011097.07224563</v>
      </c>
      <c r="F109" s="165">
        <f>F105</f>
        <v>8360014.1385935172</v>
      </c>
      <c r="G109" s="165">
        <f t="shared" ref="G109:AM109" si="20">G105</f>
        <v>34483054.24129875</v>
      </c>
      <c r="H109" s="165">
        <f t="shared" si="20"/>
        <v>90904330.469175875</v>
      </c>
      <c r="I109" s="165">
        <f t="shared" si="20"/>
        <v>36263698.223177493</v>
      </c>
      <c r="J109" s="165">
        <f t="shared" si="20"/>
        <v>0</v>
      </c>
      <c r="K109" s="165">
        <f t="shared" si="20"/>
        <v>0</v>
      </c>
      <c r="L109" s="165">
        <f t="shared" si="20"/>
        <v>0</v>
      </c>
      <c r="M109" s="165">
        <f t="shared" si="20"/>
        <v>0</v>
      </c>
      <c r="N109" s="165">
        <f t="shared" si="20"/>
        <v>0</v>
      </c>
      <c r="O109" s="165">
        <f t="shared" si="20"/>
        <v>0</v>
      </c>
      <c r="P109" s="165">
        <f t="shared" si="20"/>
        <v>0</v>
      </c>
      <c r="Q109" s="165">
        <f t="shared" si="20"/>
        <v>0</v>
      </c>
      <c r="R109" s="165">
        <f t="shared" si="20"/>
        <v>0</v>
      </c>
      <c r="S109" s="165">
        <f t="shared" si="20"/>
        <v>0</v>
      </c>
      <c r="T109" s="165">
        <f t="shared" si="20"/>
        <v>0</v>
      </c>
      <c r="U109" s="165">
        <f t="shared" si="20"/>
        <v>0</v>
      </c>
      <c r="V109" s="165">
        <f t="shared" si="20"/>
        <v>0</v>
      </c>
      <c r="W109" s="165">
        <f t="shared" si="20"/>
        <v>0</v>
      </c>
      <c r="X109" s="165">
        <f t="shared" si="20"/>
        <v>0</v>
      </c>
      <c r="Y109" s="165">
        <f t="shared" si="20"/>
        <v>0</v>
      </c>
      <c r="Z109" s="165">
        <f t="shared" si="20"/>
        <v>0</v>
      </c>
      <c r="AA109" s="165">
        <f t="shared" si="20"/>
        <v>0</v>
      </c>
      <c r="AB109" s="165">
        <f t="shared" si="20"/>
        <v>0</v>
      </c>
      <c r="AC109" s="165">
        <f t="shared" si="20"/>
        <v>0</v>
      </c>
      <c r="AD109" s="165">
        <f t="shared" si="20"/>
        <v>0</v>
      </c>
      <c r="AE109" s="165">
        <f t="shared" si="20"/>
        <v>0</v>
      </c>
      <c r="AF109" s="165">
        <f t="shared" si="20"/>
        <v>0</v>
      </c>
      <c r="AG109" s="165">
        <f t="shared" si="20"/>
        <v>0</v>
      </c>
      <c r="AH109" s="165">
        <f t="shared" si="20"/>
        <v>0</v>
      </c>
      <c r="AI109" s="165">
        <f t="shared" si="20"/>
        <v>0</v>
      </c>
      <c r="AJ109" s="165">
        <f t="shared" si="20"/>
        <v>0</v>
      </c>
      <c r="AK109" s="165">
        <f t="shared" si="20"/>
        <v>0</v>
      </c>
      <c r="AL109" s="165">
        <f t="shared" si="20"/>
        <v>0</v>
      </c>
      <c r="AM109" s="165">
        <f t="shared" si="20"/>
        <v>0</v>
      </c>
      <c r="AN109" s="44"/>
      <c r="AO109" s="44"/>
      <c r="AP109" s="44"/>
      <c r="AQ109" s="44"/>
      <c r="AR109" s="44"/>
      <c r="AS109" s="4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  <c r="BF109" s="44"/>
      <c r="BG109" s="44"/>
      <c r="BH109" s="44"/>
      <c r="BI109" s="44"/>
      <c r="BJ109" s="44"/>
      <c r="BK109" s="44"/>
      <c r="BL109" s="44"/>
      <c r="BM109" s="44"/>
      <c r="BN109" s="44"/>
      <c r="BO109" s="44"/>
      <c r="BP109" s="44"/>
      <c r="BQ109" s="44"/>
      <c r="BR109" s="44"/>
      <c r="BS109" s="44"/>
      <c r="BT109" s="44"/>
      <c r="BU109" s="44"/>
      <c r="BV109" s="44"/>
      <c r="BW109" s="44"/>
      <c r="BX109" s="44"/>
      <c r="BY109" s="44"/>
      <c r="BZ109" s="44"/>
      <c r="CA109" s="44"/>
      <c r="CB109" s="44"/>
    </row>
    <row r="110" spans="1:80" s="132" customFormat="1" x14ac:dyDescent="0.3">
      <c r="A110" s="47"/>
      <c r="B110" s="47"/>
      <c r="C110" s="47" t="s">
        <v>353</v>
      </c>
      <c r="D110" s="156" t="s">
        <v>214</v>
      </c>
      <c r="E110" s="164">
        <f t="shared" si="19"/>
        <v>100000</v>
      </c>
      <c r="F110" s="438"/>
      <c r="G110" s="438"/>
      <c r="H110" s="438"/>
      <c r="I110" s="161">
        <f>E61</f>
        <v>100000</v>
      </c>
      <c r="J110" s="438"/>
      <c r="K110" s="438"/>
      <c r="L110" s="438"/>
      <c r="M110" s="438"/>
      <c r="N110" s="438"/>
      <c r="O110" s="438"/>
      <c r="P110" s="438"/>
      <c r="Q110" s="438"/>
      <c r="R110" s="438"/>
      <c r="S110" s="438"/>
      <c r="T110" s="438"/>
      <c r="U110" s="438"/>
      <c r="V110" s="438"/>
      <c r="W110" s="438"/>
      <c r="X110" s="438"/>
      <c r="Y110" s="438"/>
      <c r="Z110" s="438"/>
      <c r="AA110" s="438"/>
      <c r="AB110" s="438"/>
      <c r="AC110" s="438"/>
      <c r="AD110" s="438"/>
      <c r="AE110" s="438"/>
      <c r="AF110" s="438"/>
      <c r="AG110" s="438"/>
      <c r="AH110" s="438"/>
      <c r="AI110" s="438"/>
      <c r="AJ110" s="438"/>
      <c r="AK110" s="438"/>
      <c r="AL110" s="438"/>
      <c r="AM110" s="438"/>
      <c r="AN110" s="44"/>
      <c r="AO110" s="44"/>
      <c r="AP110" s="44"/>
      <c r="AQ110" s="44"/>
      <c r="AR110" s="44"/>
      <c r="AS110" s="4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  <c r="BF110" s="44"/>
      <c r="BG110" s="44"/>
      <c r="BH110" s="44"/>
      <c r="BI110" s="44"/>
      <c r="BJ110" s="44"/>
      <c r="BK110" s="44"/>
      <c r="BL110" s="44"/>
      <c r="BM110" s="44"/>
      <c r="BN110" s="44"/>
      <c r="BO110" s="44"/>
      <c r="BP110" s="44"/>
      <c r="BQ110" s="44"/>
      <c r="BR110" s="44"/>
      <c r="BS110" s="44"/>
      <c r="BT110" s="44"/>
      <c r="BU110" s="44"/>
      <c r="BV110" s="44"/>
      <c r="BW110" s="44"/>
      <c r="BX110" s="44"/>
      <c r="BY110" s="44"/>
      <c r="BZ110" s="44"/>
      <c r="CA110" s="44"/>
      <c r="CB110" s="44"/>
    </row>
    <row r="111" spans="1:80" s="132" customFormat="1" x14ac:dyDescent="0.3">
      <c r="A111" s="47"/>
      <c r="B111" s="47"/>
      <c r="C111" s="47" t="s">
        <v>211</v>
      </c>
      <c r="D111" s="156" t="s">
        <v>214</v>
      </c>
      <c r="E111" s="164">
        <f t="shared" si="19"/>
        <v>31918674.464747641</v>
      </c>
      <c r="F111" s="165">
        <f>F106</f>
        <v>0</v>
      </c>
      <c r="G111" s="165">
        <f t="shared" ref="G111:AM111" si="21">G106</f>
        <v>0</v>
      </c>
      <c r="H111" s="165">
        <f t="shared" si="21"/>
        <v>0</v>
      </c>
      <c r="I111" s="165">
        <f t="shared" si="21"/>
        <v>0</v>
      </c>
      <c r="J111" s="165">
        <f t="shared" si="21"/>
        <v>0</v>
      </c>
      <c r="K111" s="165">
        <f t="shared" si="21"/>
        <v>0</v>
      </c>
      <c r="L111" s="165">
        <f t="shared" si="21"/>
        <v>0</v>
      </c>
      <c r="M111" s="165">
        <f t="shared" si="21"/>
        <v>0</v>
      </c>
      <c r="N111" s="165">
        <f t="shared" si="21"/>
        <v>0</v>
      </c>
      <c r="O111" s="165">
        <f t="shared" si="21"/>
        <v>0</v>
      </c>
      <c r="P111" s="165">
        <f t="shared" si="21"/>
        <v>0</v>
      </c>
      <c r="Q111" s="165">
        <f t="shared" si="21"/>
        <v>0</v>
      </c>
      <c r="R111" s="165">
        <f t="shared" si="21"/>
        <v>0</v>
      </c>
      <c r="S111" s="165">
        <f t="shared" si="21"/>
        <v>2785806.5330999955</v>
      </c>
      <c r="T111" s="165">
        <f t="shared" si="21"/>
        <v>3525445.1348124668</v>
      </c>
      <c r="U111" s="165">
        <f t="shared" si="21"/>
        <v>0</v>
      </c>
      <c r="V111" s="165">
        <f t="shared" si="21"/>
        <v>0</v>
      </c>
      <c r="W111" s="165">
        <f t="shared" si="21"/>
        <v>0</v>
      </c>
      <c r="X111" s="165">
        <f t="shared" si="21"/>
        <v>3236573.2831895668</v>
      </c>
      <c r="Y111" s="165">
        <f t="shared" si="21"/>
        <v>9893542.6600298993</v>
      </c>
      <c r="Z111" s="165">
        <f t="shared" si="21"/>
        <v>4645828.0030432567</v>
      </c>
      <c r="AA111" s="165">
        <f t="shared" si="21"/>
        <v>0</v>
      </c>
      <c r="AB111" s="165">
        <f t="shared" si="21"/>
        <v>0</v>
      </c>
      <c r="AC111" s="165">
        <f t="shared" si="21"/>
        <v>0</v>
      </c>
      <c r="AD111" s="165">
        <f t="shared" si="21"/>
        <v>3456836.540557222</v>
      </c>
      <c r="AE111" s="165">
        <f t="shared" si="21"/>
        <v>4374642.3100152342</v>
      </c>
      <c r="AF111" s="165">
        <f t="shared" si="21"/>
        <v>0</v>
      </c>
      <c r="AG111" s="165">
        <f t="shared" si="21"/>
        <v>0</v>
      </c>
      <c r="AH111" s="165">
        <f t="shared" si="21"/>
        <v>0</v>
      </c>
      <c r="AI111" s="165">
        <f t="shared" si="21"/>
        <v>0</v>
      </c>
      <c r="AJ111" s="165">
        <f t="shared" si="21"/>
        <v>0</v>
      </c>
      <c r="AK111" s="165">
        <f t="shared" si="21"/>
        <v>0</v>
      </c>
      <c r="AL111" s="165">
        <f t="shared" si="21"/>
        <v>0</v>
      </c>
      <c r="AM111" s="165">
        <f t="shared" si="21"/>
        <v>0</v>
      </c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  <c r="BF111" s="44"/>
      <c r="BG111" s="44"/>
      <c r="BH111" s="44"/>
      <c r="BI111" s="44"/>
      <c r="BJ111" s="44"/>
      <c r="BK111" s="44"/>
      <c r="BL111" s="44"/>
      <c r="BM111" s="44"/>
      <c r="BN111" s="44"/>
      <c r="BO111" s="44"/>
      <c r="BP111" s="44"/>
      <c r="BQ111" s="44"/>
      <c r="BR111" s="44"/>
      <c r="BS111" s="44"/>
      <c r="BT111" s="44"/>
      <c r="BU111" s="44"/>
      <c r="BV111" s="44"/>
      <c r="BW111" s="44"/>
      <c r="BX111" s="44"/>
      <c r="BY111" s="44"/>
      <c r="BZ111" s="44"/>
      <c r="CA111" s="44"/>
      <c r="CB111" s="44"/>
    </row>
    <row r="112" spans="1:80" x14ac:dyDescent="0.3">
      <c r="A112" s="47"/>
      <c r="B112" s="47"/>
      <c r="C112" s="47" t="s">
        <v>315</v>
      </c>
      <c r="D112" s="156" t="s">
        <v>214</v>
      </c>
      <c r="E112" s="164">
        <f t="shared" si="19"/>
        <v>12.9481926268358</v>
      </c>
      <c r="F112" s="161">
        <f>F151</f>
        <v>0</v>
      </c>
      <c r="G112" s="161">
        <f t="shared" ref="G112:AA112" si="22">G151</f>
        <v>0.5868593988382671</v>
      </c>
      <c r="H112" s="161">
        <f>H151</f>
        <v>2.9990149426120838</v>
      </c>
      <c r="I112" s="161">
        <f t="shared" si="22"/>
        <v>9.3623182853854487</v>
      </c>
      <c r="J112" s="161">
        <f t="shared" si="22"/>
        <v>0</v>
      </c>
      <c r="K112" s="161">
        <f t="shared" si="22"/>
        <v>0</v>
      </c>
      <c r="L112" s="161">
        <f t="shared" si="22"/>
        <v>0</v>
      </c>
      <c r="M112" s="161">
        <f t="shared" si="22"/>
        <v>0</v>
      </c>
      <c r="N112" s="161">
        <f t="shared" si="22"/>
        <v>0</v>
      </c>
      <c r="O112" s="161">
        <f t="shared" si="22"/>
        <v>0</v>
      </c>
      <c r="P112" s="161">
        <f t="shared" si="22"/>
        <v>0</v>
      </c>
      <c r="Q112" s="161">
        <f t="shared" si="22"/>
        <v>0</v>
      </c>
      <c r="R112" s="161">
        <f t="shared" si="22"/>
        <v>0</v>
      </c>
      <c r="S112" s="161">
        <f t="shared" si="22"/>
        <v>0</v>
      </c>
      <c r="T112" s="161">
        <f t="shared" si="22"/>
        <v>0</v>
      </c>
      <c r="U112" s="161">
        <f t="shared" si="22"/>
        <v>0</v>
      </c>
      <c r="V112" s="161">
        <f t="shared" si="22"/>
        <v>0</v>
      </c>
      <c r="W112" s="161">
        <f t="shared" si="22"/>
        <v>0</v>
      </c>
      <c r="X112" s="161">
        <f t="shared" si="22"/>
        <v>0</v>
      </c>
      <c r="Y112" s="161">
        <f t="shared" si="22"/>
        <v>0</v>
      </c>
      <c r="Z112" s="161">
        <f t="shared" si="22"/>
        <v>0</v>
      </c>
      <c r="AA112" s="161">
        <f t="shared" si="22"/>
        <v>0</v>
      </c>
      <c r="AB112" s="161">
        <f t="shared" ref="AB112:AM112" si="23">AB151</f>
        <v>0</v>
      </c>
      <c r="AC112" s="161">
        <f t="shared" si="23"/>
        <v>0</v>
      </c>
      <c r="AD112" s="161">
        <f t="shared" si="23"/>
        <v>0</v>
      </c>
      <c r="AE112" s="161">
        <f t="shared" si="23"/>
        <v>0</v>
      </c>
      <c r="AF112" s="161">
        <f t="shared" si="23"/>
        <v>0</v>
      </c>
      <c r="AG112" s="161">
        <f t="shared" si="23"/>
        <v>0</v>
      </c>
      <c r="AH112" s="161">
        <f t="shared" si="23"/>
        <v>0</v>
      </c>
      <c r="AI112" s="161">
        <f t="shared" si="23"/>
        <v>0</v>
      </c>
      <c r="AJ112" s="161">
        <f t="shared" si="23"/>
        <v>0</v>
      </c>
      <c r="AK112" s="161">
        <f t="shared" si="23"/>
        <v>0</v>
      </c>
      <c r="AL112" s="161">
        <f t="shared" si="23"/>
        <v>0</v>
      </c>
      <c r="AM112" s="161">
        <f t="shared" si="23"/>
        <v>0</v>
      </c>
      <c r="AN112" s="44"/>
      <c r="AO112" s="44"/>
      <c r="AP112" s="44"/>
      <c r="AQ112" s="44"/>
      <c r="AR112" s="44"/>
      <c r="AS112" s="4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  <c r="BF112" s="44"/>
      <c r="BG112" s="44"/>
      <c r="BH112" s="44"/>
      <c r="BI112" s="44"/>
      <c r="BJ112" s="44"/>
      <c r="BK112" s="44"/>
      <c r="BL112" s="44"/>
      <c r="BM112" s="44"/>
      <c r="BN112" s="44"/>
      <c r="BO112" s="44"/>
      <c r="BP112" s="44"/>
      <c r="BQ112" s="44"/>
      <c r="BR112" s="44"/>
      <c r="BS112" s="44"/>
      <c r="BT112" s="44"/>
      <c r="BU112" s="44"/>
      <c r="BV112" s="44"/>
      <c r="BW112" s="44"/>
      <c r="BX112" s="44"/>
      <c r="BY112" s="44"/>
      <c r="BZ112" s="44"/>
      <c r="CA112" s="44"/>
      <c r="CB112" s="44"/>
    </row>
    <row r="113" spans="1:80" x14ac:dyDescent="0.3">
      <c r="A113" s="47"/>
      <c r="B113" s="47"/>
      <c r="C113" s="47" t="s">
        <v>316</v>
      </c>
      <c r="D113" s="156" t="s">
        <v>214</v>
      </c>
      <c r="E113" s="164">
        <f t="shared" si="19"/>
        <v>1.6419923395965783</v>
      </c>
      <c r="F113" s="165">
        <f>F138</f>
        <v>1.6419923395965783</v>
      </c>
      <c r="G113" s="165">
        <f t="shared" ref="G113:AA113" si="24">G138</f>
        <v>0</v>
      </c>
      <c r="H113" s="165">
        <f t="shared" si="24"/>
        <v>0</v>
      </c>
      <c r="I113" s="165">
        <f t="shared" si="24"/>
        <v>0</v>
      </c>
      <c r="J113" s="165">
        <f t="shared" si="24"/>
        <v>0</v>
      </c>
      <c r="K113" s="165">
        <f t="shared" si="24"/>
        <v>0</v>
      </c>
      <c r="L113" s="165">
        <f t="shared" si="24"/>
        <v>0</v>
      </c>
      <c r="M113" s="165">
        <f t="shared" si="24"/>
        <v>0</v>
      </c>
      <c r="N113" s="165">
        <f t="shared" si="24"/>
        <v>0</v>
      </c>
      <c r="O113" s="165">
        <f t="shared" si="24"/>
        <v>0</v>
      </c>
      <c r="P113" s="165">
        <f t="shared" si="24"/>
        <v>0</v>
      </c>
      <c r="Q113" s="165">
        <f t="shared" si="24"/>
        <v>0</v>
      </c>
      <c r="R113" s="165">
        <f t="shared" si="24"/>
        <v>0</v>
      </c>
      <c r="S113" s="165">
        <f t="shared" si="24"/>
        <v>0</v>
      </c>
      <c r="T113" s="165">
        <f t="shared" si="24"/>
        <v>0</v>
      </c>
      <c r="U113" s="165">
        <f t="shared" si="24"/>
        <v>0</v>
      </c>
      <c r="V113" s="165">
        <f t="shared" si="24"/>
        <v>0</v>
      </c>
      <c r="W113" s="165">
        <f t="shared" si="24"/>
        <v>0</v>
      </c>
      <c r="X113" s="165">
        <f t="shared" si="24"/>
        <v>0</v>
      </c>
      <c r="Y113" s="165">
        <f t="shared" si="24"/>
        <v>0</v>
      </c>
      <c r="Z113" s="165">
        <f t="shared" si="24"/>
        <v>0</v>
      </c>
      <c r="AA113" s="165">
        <f t="shared" si="24"/>
        <v>0</v>
      </c>
      <c r="AB113" s="165">
        <f t="shared" ref="AB113:AM113" si="25">AB138</f>
        <v>0</v>
      </c>
      <c r="AC113" s="165">
        <f t="shared" si="25"/>
        <v>0</v>
      </c>
      <c r="AD113" s="165">
        <f t="shared" si="25"/>
        <v>0</v>
      </c>
      <c r="AE113" s="165">
        <f t="shared" si="25"/>
        <v>0</v>
      </c>
      <c r="AF113" s="165">
        <f t="shared" si="25"/>
        <v>0</v>
      </c>
      <c r="AG113" s="165">
        <f t="shared" si="25"/>
        <v>0</v>
      </c>
      <c r="AH113" s="165">
        <f t="shared" si="25"/>
        <v>0</v>
      </c>
      <c r="AI113" s="165">
        <f t="shared" si="25"/>
        <v>0</v>
      </c>
      <c r="AJ113" s="165">
        <f t="shared" si="25"/>
        <v>0</v>
      </c>
      <c r="AK113" s="165">
        <f t="shared" si="25"/>
        <v>0</v>
      </c>
      <c r="AL113" s="165">
        <f t="shared" si="25"/>
        <v>0</v>
      </c>
      <c r="AM113" s="165">
        <f t="shared" si="25"/>
        <v>0</v>
      </c>
      <c r="AN113" s="44"/>
      <c r="AO113" s="44"/>
      <c r="AP113" s="44"/>
      <c r="AQ113" s="44"/>
      <c r="AR113" s="44"/>
      <c r="AS113" s="4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  <c r="BF113" s="44"/>
      <c r="BG113" s="44"/>
      <c r="BH113" s="44"/>
      <c r="BI113" s="44"/>
      <c r="BJ113" s="44"/>
      <c r="BK113" s="44"/>
      <c r="BL113" s="44"/>
      <c r="BM113" s="44"/>
      <c r="BN113" s="44"/>
      <c r="BO113" s="44"/>
      <c r="BP113" s="44"/>
      <c r="BQ113" s="44"/>
      <c r="BR113" s="44"/>
      <c r="BS113" s="44"/>
      <c r="BT113" s="44"/>
      <c r="BU113" s="44"/>
      <c r="BV113" s="44"/>
      <c r="BW113" s="44"/>
      <c r="BX113" s="44"/>
      <c r="BY113" s="44"/>
      <c r="BZ113" s="44"/>
      <c r="CA113" s="44"/>
      <c r="CB113" s="44"/>
    </row>
    <row r="114" spans="1:80" s="259" customFormat="1" x14ac:dyDescent="0.3">
      <c r="A114" s="179"/>
      <c r="B114" s="179"/>
      <c r="C114" s="179" t="s">
        <v>161</v>
      </c>
      <c r="D114" s="180" t="s">
        <v>214</v>
      </c>
      <c r="E114" s="227">
        <f t="shared" si="19"/>
        <v>202029786.12717825</v>
      </c>
      <c r="F114" s="258">
        <f>SUM(F109:F113)</f>
        <v>8360015.7805858571</v>
      </c>
      <c r="G114" s="220">
        <f t="shared" ref="G114:AM114" si="26">SUM(G109:G113)</f>
        <v>34483054.828158148</v>
      </c>
      <c r="H114" s="220">
        <f>SUM(H109:H113)</f>
        <v>90904333.468190819</v>
      </c>
      <c r="I114" s="220">
        <f t="shared" si="26"/>
        <v>36363707.585495777</v>
      </c>
      <c r="J114" s="220">
        <f t="shared" si="26"/>
        <v>0</v>
      </c>
      <c r="K114" s="220">
        <f t="shared" si="26"/>
        <v>0</v>
      </c>
      <c r="L114" s="220">
        <f t="shared" si="26"/>
        <v>0</v>
      </c>
      <c r="M114" s="220">
        <f t="shared" si="26"/>
        <v>0</v>
      </c>
      <c r="N114" s="220">
        <f t="shared" si="26"/>
        <v>0</v>
      </c>
      <c r="O114" s="220">
        <f t="shared" si="26"/>
        <v>0</v>
      </c>
      <c r="P114" s="220">
        <f t="shared" si="26"/>
        <v>0</v>
      </c>
      <c r="Q114" s="220">
        <f t="shared" si="26"/>
        <v>0</v>
      </c>
      <c r="R114" s="220">
        <f t="shared" si="26"/>
        <v>0</v>
      </c>
      <c r="S114" s="220">
        <f t="shared" si="26"/>
        <v>2785806.5330999955</v>
      </c>
      <c r="T114" s="220">
        <f t="shared" si="26"/>
        <v>3525445.1348124668</v>
      </c>
      <c r="U114" s="220">
        <f t="shared" si="26"/>
        <v>0</v>
      </c>
      <c r="V114" s="220">
        <f t="shared" si="26"/>
        <v>0</v>
      </c>
      <c r="W114" s="220">
        <f t="shared" si="26"/>
        <v>0</v>
      </c>
      <c r="X114" s="220">
        <f t="shared" si="26"/>
        <v>3236573.2831895668</v>
      </c>
      <c r="Y114" s="220">
        <f t="shared" si="26"/>
        <v>9893542.6600298993</v>
      </c>
      <c r="Z114" s="220">
        <f t="shared" si="26"/>
        <v>4645828.0030432567</v>
      </c>
      <c r="AA114" s="220">
        <f t="shared" si="26"/>
        <v>0</v>
      </c>
      <c r="AB114" s="220">
        <f t="shared" si="26"/>
        <v>0</v>
      </c>
      <c r="AC114" s="220">
        <f t="shared" si="26"/>
        <v>0</v>
      </c>
      <c r="AD114" s="220">
        <f t="shared" si="26"/>
        <v>3456836.540557222</v>
      </c>
      <c r="AE114" s="220">
        <f t="shared" si="26"/>
        <v>4374642.3100152342</v>
      </c>
      <c r="AF114" s="220">
        <f t="shared" si="26"/>
        <v>0</v>
      </c>
      <c r="AG114" s="220">
        <f t="shared" si="26"/>
        <v>0</v>
      </c>
      <c r="AH114" s="220">
        <f t="shared" si="26"/>
        <v>0</v>
      </c>
      <c r="AI114" s="220">
        <f t="shared" si="26"/>
        <v>0</v>
      </c>
      <c r="AJ114" s="220">
        <f t="shared" si="26"/>
        <v>0</v>
      </c>
      <c r="AK114" s="220">
        <f t="shared" si="26"/>
        <v>0</v>
      </c>
      <c r="AL114" s="220">
        <f t="shared" si="26"/>
        <v>0</v>
      </c>
      <c r="AM114" s="220">
        <f t="shared" si="26"/>
        <v>0</v>
      </c>
      <c r="AN114" s="181"/>
      <c r="AO114" s="181"/>
      <c r="AP114" s="181"/>
      <c r="AQ114" s="181"/>
      <c r="AR114" s="181"/>
      <c r="AS114" s="181"/>
      <c r="AT114" s="181"/>
      <c r="AU114" s="181"/>
      <c r="AV114" s="181"/>
      <c r="AW114" s="181"/>
      <c r="AX114" s="181"/>
      <c r="AY114" s="181"/>
      <c r="AZ114" s="181"/>
      <c r="BA114" s="181"/>
      <c r="BB114" s="181"/>
      <c r="BC114" s="181"/>
      <c r="BD114" s="181"/>
      <c r="BE114" s="181"/>
      <c r="BF114" s="181"/>
      <c r="BG114" s="181"/>
      <c r="BH114" s="181"/>
      <c r="BI114" s="181"/>
      <c r="BJ114" s="181"/>
      <c r="BK114" s="181"/>
      <c r="BL114" s="181"/>
      <c r="BM114" s="181"/>
      <c r="BN114" s="181"/>
      <c r="BO114" s="181"/>
      <c r="BP114" s="181"/>
      <c r="BQ114" s="181"/>
      <c r="BR114" s="181"/>
      <c r="BS114" s="181"/>
      <c r="BT114" s="181"/>
      <c r="BU114" s="181"/>
      <c r="BV114" s="181"/>
      <c r="BW114" s="181"/>
      <c r="BX114" s="181"/>
      <c r="BY114" s="181"/>
      <c r="BZ114" s="181"/>
      <c r="CA114" s="181"/>
      <c r="CB114" s="181"/>
    </row>
    <row r="115" spans="1:80" s="259" customFormat="1" x14ac:dyDescent="0.3">
      <c r="A115" s="179"/>
      <c r="B115" s="179"/>
      <c r="C115" s="179" t="s">
        <v>244</v>
      </c>
      <c r="D115" s="180" t="s">
        <v>214</v>
      </c>
      <c r="E115" s="227">
        <f t="shared" si="19"/>
        <v>-31918674.464747641</v>
      </c>
      <c r="F115" s="260">
        <f t="shared" ref="F115:AM115" si="27">IF(F79=1,-F114,0)</f>
        <v>0</v>
      </c>
      <c r="G115" s="260">
        <f t="shared" si="27"/>
        <v>0</v>
      </c>
      <c r="H115" s="260">
        <f t="shared" si="27"/>
        <v>0</v>
      </c>
      <c r="I115" s="260">
        <f t="shared" si="27"/>
        <v>0</v>
      </c>
      <c r="J115" s="260">
        <f t="shared" si="27"/>
        <v>0</v>
      </c>
      <c r="K115" s="260">
        <f t="shared" si="27"/>
        <v>0</v>
      </c>
      <c r="L115" s="260">
        <f t="shared" si="27"/>
        <v>0</v>
      </c>
      <c r="M115" s="260">
        <f t="shared" si="27"/>
        <v>0</v>
      </c>
      <c r="N115" s="260">
        <f t="shared" si="27"/>
        <v>0</v>
      </c>
      <c r="O115" s="260">
        <f t="shared" si="27"/>
        <v>0</v>
      </c>
      <c r="P115" s="260">
        <f t="shared" si="27"/>
        <v>0</v>
      </c>
      <c r="Q115" s="260">
        <f t="shared" si="27"/>
        <v>0</v>
      </c>
      <c r="R115" s="260">
        <f t="shared" si="27"/>
        <v>0</v>
      </c>
      <c r="S115" s="260">
        <f t="shared" si="27"/>
        <v>-2785806.5330999955</v>
      </c>
      <c r="T115" s="260">
        <f t="shared" si="27"/>
        <v>-3525445.1348124668</v>
      </c>
      <c r="U115" s="260">
        <f t="shared" si="27"/>
        <v>0</v>
      </c>
      <c r="V115" s="260">
        <f t="shared" si="27"/>
        <v>0</v>
      </c>
      <c r="W115" s="260">
        <f t="shared" si="27"/>
        <v>0</v>
      </c>
      <c r="X115" s="260">
        <f t="shared" si="27"/>
        <v>-3236573.2831895668</v>
      </c>
      <c r="Y115" s="260">
        <f t="shared" si="27"/>
        <v>-9893542.6600298993</v>
      </c>
      <c r="Z115" s="260">
        <f t="shared" si="27"/>
        <v>-4645828.0030432567</v>
      </c>
      <c r="AA115" s="260">
        <f t="shared" si="27"/>
        <v>0</v>
      </c>
      <c r="AB115" s="260">
        <f t="shared" si="27"/>
        <v>0</v>
      </c>
      <c r="AC115" s="260">
        <f t="shared" si="27"/>
        <v>0</v>
      </c>
      <c r="AD115" s="260">
        <f t="shared" si="27"/>
        <v>-3456836.540557222</v>
      </c>
      <c r="AE115" s="260">
        <f t="shared" si="27"/>
        <v>-4374642.3100152342</v>
      </c>
      <c r="AF115" s="260">
        <f t="shared" si="27"/>
        <v>0</v>
      </c>
      <c r="AG115" s="260">
        <f t="shared" si="27"/>
        <v>0</v>
      </c>
      <c r="AH115" s="260">
        <f t="shared" si="27"/>
        <v>0</v>
      </c>
      <c r="AI115" s="260">
        <f t="shared" si="27"/>
        <v>0</v>
      </c>
      <c r="AJ115" s="260">
        <f t="shared" si="27"/>
        <v>0</v>
      </c>
      <c r="AK115" s="260">
        <f t="shared" si="27"/>
        <v>0</v>
      </c>
      <c r="AL115" s="260">
        <f t="shared" si="27"/>
        <v>0</v>
      </c>
      <c r="AM115" s="260">
        <f t="shared" si="27"/>
        <v>0</v>
      </c>
      <c r="AN115" s="181"/>
      <c r="AO115" s="181"/>
      <c r="AP115" s="181"/>
      <c r="AQ115" s="181"/>
      <c r="AR115" s="181"/>
      <c r="AS115" s="181"/>
      <c r="AT115" s="181"/>
      <c r="AU115" s="181"/>
      <c r="AV115" s="181"/>
      <c r="AW115" s="181"/>
      <c r="AX115" s="181"/>
      <c r="AY115" s="181"/>
      <c r="AZ115" s="181"/>
      <c r="BA115" s="181"/>
      <c r="BB115" s="181"/>
      <c r="BC115" s="181"/>
      <c r="BD115" s="181"/>
      <c r="BE115" s="181"/>
      <c r="BF115" s="181"/>
      <c r="BG115" s="181"/>
      <c r="BH115" s="181"/>
      <c r="BI115" s="181"/>
      <c r="BJ115" s="181"/>
      <c r="BK115" s="181"/>
      <c r="BL115" s="181"/>
      <c r="BM115" s="181"/>
      <c r="BN115" s="181"/>
      <c r="BO115" s="181"/>
      <c r="BP115" s="181"/>
      <c r="BQ115" s="181"/>
      <c r="BR115" s="181"/>
      <c r="BS115" s="181"/>
      <c r="BT115" s="181"/>
      <c r="BU115" s="181"/>
      <c r="BV115" s="181"/>
      <c r="BW115" s="181"/>
      <c r="BX115" s="181"/>
      <c r="BY115" s="181"/>
      <c r="BZ115" s="181"/>
      <c r="CA115" s="181"/>
      <c r="CB115" s="181"/>
    </row>
    <row r="116" spans="1:80" s="259" customFormat="1" x14ac:dyDescent="0.3">
      <c r="A116" s="179"/>
      <c r="B116" s="179"/>
      <c r="C116" s="364" t="s">
        <v>286</v>
      </c>
      <c r="D116" s="180" t="s">
        <v>214</v>
      </c>
      <c r="E116" s="227">
        <f t="shared" si="19"/>
        <v>-170109410.551314</v>
      </c>
      <c r="F116" s="260">
        <f t="shared" ref="F116:AM116" si="28">IF(F78=1,-F114*(1-$E$58),0)</f>
        <v>-8359932.1804280514</v>
      </c>
      <c r="G116" s="260">
        <f t="shared" si="28"/>
        <v>-34482709.997609869</v>
      </c>
      <c r="H116" s="260">
        <f t="shared" si="28"/>
        <v>-90903424.424856141</v>
      </c>
      <c r="I116" s="260">
        <f t="shared" si="28"/>
        <v>-36363343.948419921</v>
      </c>
      <c r="J116" s="260">
        <f t="shared" si="28"/>
        <v>0</v>
      </c>
      <c r="K116" s="260">
        <f t="shared" si="28"/>
        <v>0</v>
      </c>
      <c r="L116" s="260">
        <f t="shared" si="28"/>
        <v>0</v>
      </c>
      <c r="M116" s="260">
        <f t="shared" si="28"/>
        <v>0</v>
      </c>
      <c r="N116" s="260">
        <f t="shared" si="28"/>
        <v>0</v>
      </c>
      <c r="O116" s="260">
        <f t="shared" si="28"/>
        <v>0</v>
      </c>
      <c r="P116" s="260">
        <f t="shared" si="28"/>
        <v>0</v>
      </c>
      <c r="Q116" s="260">
        <f t="shared" si="28"/>
        <v>0</v>
      </c>
      <c r="R116" s="260">
        <f t="shared" si="28"/>
        <v>0</v>
      </c>
      <c r="S116" s="260">
        <f t="shared" si="28"/>
        <v>0</v>
      </c>
      <c r="T116" s="260">
        <f t="shared" si="28"/>
        <v>0</v>
      </c>
      <c r="U116" s="260">
        <f t="shared" si="28"/>
        <v>0</v>
      </c>
      <c r="V116" s="260">
        <f t="shared" si="28"/>
        <v>0</v>
      </c>
      <c r="W116" s="260">
        <f t="shared" si="28"/>
        <v>0</v>
      </c>
      <c r="X116" s="260">
        <f t="shared" si="28"/>
        <v>0</v>
      </c>
      <c r="Y116" s="260">
        <f t="shared" si="28"/>
        <v>0</v>
      </c>
      <c r="Z116" s="260">
        <f t="shared" si="28"/>
        <v>0</v>
      </c>
      <c r="AA116" s="260">
        <f t="shared" si="28"/>
        <v>0</v>
      </c>
      <c r="AB116" s="260">
        <f t="shared" si="28"/>
        <v>0</v>
      </c>
      <c r="AC116" s="260">
        <f t="shared" si="28"/>
        <v>0</v>
      </c>
      <c r="AD116" s="260">
        <f t="shared" si="28"/>
        <v>0</v>
      </c>
      <c r="AE116" s="260">
        <f t="shared" si="28"/>
        <v>0</v>
      </c>
      <c r="AF116" s="260">
        <f t="shared" si="28"/>
        <v>0</v>
      </c>
      <c r="AG116" s="260">
        <f t="shared" si="28"/>
        <v>0</v>
      </c>
      <c r="AH116" s="260">
        <f t="shared" si="28"/>
        <v>0</v>
      </c>
      <c r="AI116" s="260">
        <f t="shared" si="28"/>
        <v>0</v>
      </c>
      <c r="AJ116" s="260">
        <f t="shared" si="28"/>
        <v>0</v>
      </c>
      <c r="AK116" s="260">
        <f t="shared" si="28"/>
        <v>0</v>
      </c>
      <c r="AL116" s="260">
        <f t="shared" si="28"/>
        <v>0</v>
      </c>
      <c r="AM116" s="260">
        <f t="shared" si="28"/>
        <v>0</v>
      </c>
      <c r="AN116" s="181"/>
      <c r="AO116" s="181"/>
      <c r="AP116" s="181"/>
      <c r="AQ116" s="181"/>
      <c r="AR116" s="181"/>
      <c r="AS116" s="181"/>
      <c r="AT116" s="181"/>
      <c r="AU116" s="181"/>
      <c r="AV116" s="181"/>
      <c r="AW116" s="181"/>
      <c r="AX116" s="181"/>
      <c r="AY116" s="181"/>
      <c r="AZ116" s="181"/>
      <c r="BA116" s="181"/>
      <c r="BB116" s="181"/>
      <c r="BC116" s="181"/>
      <c r="BD116" s="181"/>
      <c r="BE116" s="181"/>
      <c r="BF116" s="181"/>
      <c r="BG116" s="181"/>
      <c r="BH116" s="181"/>
      <c r="BI116" s="181"/>
      <c r="BJ116" s="181"/>
      <c r="BK116" s="181"/>
      <c r="BL116" s="181"/>
      <c r="BM116" s="181"/>
      <c r="BN116" s="181"/>
      <c r="BO116" s="181"/>
      <c r="BP116" s="181"/>
      <c r="BQ116" s="181"/>
      <c r="BR116" s="181"/>
      <c r="BS116" s="181"/>
      <c r="BT116" s="181"/>
      <c r="BU116" s="181"/>
      <c r="BV116" s="181"/>
      <c r="BW116" s="181"/>
      <c r="BX116" s="181"/>
      <c r="BY116" s="181"/>
      <c r="BZ116" s="181"/>
      <c r="CA116" s="181"/>
      <c r="CB116" s="181"/>
    </row>
    <row r="117" spans="1:80" s="259" customFormat="1" x14ac:dyDescent="0.3">
      <c r="A117" s="179"/>
      <c r="B117" s="179"/>
      <c r="C117" s="179" t="s">
        <v>317</v>
      </c>
      <c r="D117" s="180" t="s">
        <v>214</v>
      </c>
      <c r="E117" s="227">
        <f t="shared" si="19"/>
        <v>-164.19923395965782</v>
      </c>
      <c r="F117" s="261">
        <f t="shared" ref="F117:AM117" si="29">IF(F78=1,IF($F$57=1,-MIN(F114*$E$59*$E$58,F135),-MIN(F114*$E$58,F135)),0)</f>
        <v>-8.3600157805858579</v>
      </c>
      <c r="G117" s="261">
        <f t="shared" si="29"/>
        <v>-34.483054828158153</v>
      </c>
      <c r="H117" s="261">
        <f t="shared" si="29"/>
        <v>-90.904333468190828</v>
      </c>
      <c r="I117" s="261">
        <f t="shared" si="29"/>
        <v>-30.451829882722961</v>
      </c>
      <c r="J117" s="261">
        <f t="shared" si="29"/>
        <v>0</v>
      </c>
      <c r="K117" s="261">
        <f t="shared" si="29"/>
        <v>0</v>
      </c>
      <c r="L117" s="261">
        <f t="shared" si="29"/>
        <v>0</v>
      </c>
      <c r="M117" s="261">
        <f t="shared" si="29"/>
        <v>0</v>
      </c>
      <c r="N117" s="261">
        <f t="shared" si="29"/>
        <v>0</v>
      </c>
      <c r="O117" s="261">
        <f t="shared" si="29"/>
        <v>0</v>
      </c>
      <c r="P117" s="261">
        <f t="shared" si="29"/>
        <v>0</v>
      </c>
      <c r="Q117" s="261">
        <f t="shared" si="29"/>
        <v>0</v>
      </c>
      <c r="R117" s="261">
        <f t="shared" si="29"/>
        <v>0</v>
      </c>
      <c r="S117" s="261">
        <f t="shared" si="29"/>
        <v>0</v>
      </c>
      <c r="T117" s="261">
        <f t="shared" si="29"/>
        <v>0</v>
      </c>
      <c r="U117" s="261">
        <f t="shared" si="29"/>
        <v>0</v>
      </c>
      <c r="V117" s="261">
        <f t="shared" si="29"/>
        <v>0</v>
      </c>
      <c r="W117" s="261">
        <f t="shared" si="29"/>
        <v>0</v>
      </c>
      <c r="X117" s="261">
        <f t="shared" si="29"/>
        <v>0</v>
      </c>
      <c r="Y117" s="261">
        <f t="shared" si="29"/>
        <v>0</v>
      </c>
      <c r="Z117" s="261">
        <f t="shared" si="29"/>
        <v>0</v>
      </c>
      <c r="AA117" s="261">
        <f t="shared" si="29"/>
        <v>0</v>
      </c>
      <c r="AB117" s="261">
        <f t="shared" si="29"/>
        <v>0</v>
      </c>
      <c r="AC117" s="261">
        <f t="shared" si="29"/>
        <v>0</v>
      </c>
      <c r="AD117" s="261">
        <f t="shared" si="29"/>
        <v>0</v>
      </c>
      <c r="AE117" s="261">
        <f t="shared" si="29"/>
        <v>0</v>
      </c>
      <c r="AF117" s="261">
        <f t="shared" si="29"/>
        <v>0</v>
      </c>
      <c r="AG117" s="261">
        <f t="shared" si="29"/>
        <v>0</v>
      </c>
      <c r="AH117" s="261">
        <f t="shared" si="29"/>
        <v>0</v>
      </c>
      <c r="AI117" s="261">
        <f t="shared" si="29"/>
        <v>0</v>
      </c>
      <c r="AJ117" s="261">
        <f t="shared" si="29"/>
        <v>0</v>
      </c>
      <c r="AK117" s="261">
        <f t="shared" si="29"/>
        <v>0</v>
      </c>
      <c r="AL117" s="261">
        <f t="shared" si="29"/>
        <v>0</v>
      </c>
      <c r="AM117" s="261">
        <f t="shared" si="29"/>
        <v>0</v>
      </c>
      <c r="AN117" s="181"/>
      <c r="AO117" s="181"/>
      <c r="AP117" s="181"/>
      <c r="AQ117" s="181"/>
      <c r="AR117" s="181"/>
      <c r="AS117" s="181"/>
      <c r="AT117" s="181"/>
      <c r="AU117" s="181"/>
      <c r="AV117" s="181"/>
      <c r="AW117" s="181"/>
      <c r="AX117" s="181"/>
      <c r="AY117" s="181"/>
      <c r="AZ117" s="181"/>
      <c r="BA117" s="181"/>
      <c r="BB117" s="181"/>
      <c r="BC117" s="181"/>
      <c r="BD117" s="181"/>
      <c r="BE117" s="181"/>
      <c r="BF117" s="181"/>
      <c r="BG117" s="181"/>
      <c r="BH117" s="181"/>
      <c r="BI117" s="181"/>
      <c r="BJ117" s="181"/>
      <c r="BK117" s="181"/>
      <c r="BL117" s="181"/>
      <c r="BM117" s="181"/>
      <c r="BN117" s="181"/>
      <c r="BO117" s="181"/>
      <c r="BP117" s="181"/>
      <c r="BQ117" s="181"/>
      <c r="BR117" s="181"/>
      <c r="BS117" s="181"/>
      <c r="BT117" s="181"/>
      <c r="BU117" s="181"/>
      <c r="BV117" s="181"/>
      <c r="BW117" s="181"/>
      <c r="BX117" s="181"/>
      <c r="BY117" s="181"/>
      <c r="BZ117" s="181"/>
      <c r="CA117" s="181"/>
      <c r="CB117" s="181"/>
    </row>
    <row r="118" spans="1:80" s="132" customFormat="1" x14ac:dyDescent="0.3">
      <c r="A118" s="47"/>
      <c r="B118" s="47"/>
      <c r="C118" s="47" t="s">
        <v>163</v>
      </c>
      <c r="D118" s="156" t="s">
        <v>214</v>
      </c>
      <c r="E118" s="164">
        <f t="shared" si="19"/>
        <v>1536.9118826591916</v>
      </c>
      <c r="F118" s="168">
        <f t="shared" ref="F118:AM118" si="30">SUM(F114:F117)</f>
        <v>75.240142025132627</v>
      </c>
      <c r="G118" s="169">
        <f t="shared" si="30"/>
        <v>310.34749345082923</v>
      </c>
      <c r="H118" s="169">
        <f t="shared" si="30"/>
        <v>818.13900120962467</v>
      </c>
      <c r="I118" s="169">
        <f t="shared" si="30"/>
        <v>333.18524597360505</v>
      </c>
      <c r="J118" s="169">
        <f t="shared" si="30"/>
        <v>0</v>
      </c>
      <c r="K118" s="169">
        <f t="shared" si="30"/>
        <v>0</v>
      </c>
      <c r="L118" s="169">
        <f t="shared" si="30"/>
        <v>0</v>
      </c>
      <c r="M118" s="169">
        <f t="shared" si="30"/>
        <v>0</v>
      </c>
      <c r="N118" s="169">
        <f t="shared" si="30"/>
        <v>0</v>
      </c>
      <c r="O118" s="169">
        <f t="shared" si="30"/>
        <v>0</v>
      </c>
      <c r="P118" s="169">
        <f t="shared" si="30"/>
        <v>0</v>
      </c>
      <c r="Q118" s="169">
        <f t="shared" si="30"/>
        <v>0</v>
      </c>
      <c r="R118" s="169">
        <f t="shared" si="30"/>
        <v>0</v>
      </c>
      <c r="S118" s="169">
        <f t="shared" si="30"/>
        <v>0</v>
      </c>
      <c r="T118" s="169">
        <f t="shared" si="30"/>
        <v>0</v>
      </c>
      <c r="U118" s="169">
        <f t="shared" si="30"/>
        <v>0</v>
      </c>
      <c r="V118" s="169">
        <f t="shared" si="30"/>
        <v>0</v>
      </c>
      <c r="W118" s="169">
        <f t="shared" si="30"/>
        <v>0</v>
      </c>
      <c r="X118" s="169">
        <f t="shared" si="30"/>
        <v>0</v>
      </c>
      <c r="Y118" s="169">
        <f t="shared" si="30"/>
        <v>0</v>
      </c>
      <c r="Z118" s="169">
        <f t="shared" si="30"/>
        <v>0</v>
      </c>
      <c r="AA118" s="169">
        <f t="shared" si="30"/>
        <v>0</v>
      </c>
      <c r="AB118" s="169">
        <f t="shared" si="30"/>
        <v>0</v>
      </c>
      <c r="AC118" s="169">
        <f t="shared" si="30"/>
        <v>0</v>
      </c>
      <c r="AD118" s="169">
        <f t="shared" si="30"/>
        <v>0</v>
      </c>
      <c r="AE118" s="169">
        <f t="shared" si="30"/>
        <v>0</v>
      </c>
      <c r="AF118" s="169">
        <f t="shared" si="30"/>
        <v>0</v>
      </c>
      <c r="AG118" s="169">
        <f t="shared" si="30"/>
        <v>0</v>
      </c>
      <c r="AH118" s="169">
        <f t="shared" si="30"/>
        <v>0</v>
      </c>
      <c r="AI118" s="169">
        <f t="shared" si="30"/>
        <v>0</v>
      </c>
      <c r="AJ118" s="169">
        <f t="shared" si="30"/>
        <v>0</v>
      </c>
      <c r="AK118" s="169">
        <f t="shared" si="30"/>
        <v>0</v>
      </c>
      <c r="AL118" s="169">
        <f t="shared" si="30"/>
        <v>0</v>
      </c>
      <c r="AM118" s="169">
        <f t="shared" si="30"/>
        <v>0</v>
      </c>
      <c r="AN118" s="44"/>
      <c r="AO118" s="44"/>
      <c r="AP118" s="44"/>
      <c r="AQ118" s="44"/>
      <c r="AR118" s="44"/>
      <c r="AS118" s="4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  <c r="BF118" s="44"/>
      <c r="BG118" s="44"/>
      <c r="BH118" s="44"/>
      <c r="BI118" s="44"/>
      <c r="BJ118" s="44"/>
      <c r="BK118" s="44"/>
      <c r="BL118" s="44"/>
      <c r="BM118" s="44"/>
      <c r="BN118" s="44"/>
      <c r="BO118" s="44"/>
      <c r="BP118" s="44"/>
      <c r="BQ118" s="44"/>
      <c r="BR118" s="44"/>
      <c r="BS118" s="44"/>
      <c r="BT118" s="44"/>
      <c r="BU118" s="44"/>
      <c r="BV118" s="44"/>
      <c r="BW118" s="44"/>
      <c r="BX118" s="44"/>
      <c r="BY118" s="44"/>
      <c r="BZ118" s="44"/>
      <c r="CA118" s="44"/>
      <c r="CB118" s="44"/>
    </row>
    <row r="119" spans="1:80" s="259" customFormat="1" x14ac:dyDescent="0.3">
      <c r="A119" s="179"/>
      <c r="B119" s="179"/>
      <c r="C119" s="179" t="s">
        <v>318</v>
      </c>
      <c r="D119" s="180" t="s">
        <v>214</v>
      </c>
      <c r="E119" s="227">
        <f t="shared" si="19"/>
        <v>-1536.9118826591916</v>
      </c>
      <c r="F119" s="261">
        <f>-F118</f>
        <v>-75.240142025132627</v>
      </c>
      <c r="G119" s="261">
        <f t="shared" ref="G119:AA119" si="31">-G118</f>
        <v>-310.34749345082923</v>
      </c>
      <c r="H119" s="261">
        <f t="shared" si="31"/>
        <v>-818.13900120962467</v>
      </c>
      <c r="I119" s="261">
        <f t="shared" si="31"/>
        <v>-333.18524597360505</v>
      </c>
      <c r="J119" s="261">
        <f t="shared" si="31"/>
        <v>0</v>
      </c>
      <c r="K119" s="261">
        <f t="shared" si="31"/>
        <v>0</v>
      </c>
      <c r="L119" s="261">
        <f t="shared" si="31"/>
        <v>0</v>
      </c>
      <c r="M119" s="261">
        <f t="shared" si="31"/>
        <v>0</v>
      </c>
      <c r="N119" s="261">
        <f t="shared" si="31"/>
        <v>0</v>
      </c>
      <c r="O119" s="261">
        <f t="shared" si="31"/>
        <v>0</v>
      </c>
      <c r="P119" s="261">
        <f t="shared" si="31"/>
        <v>0</v>
      </c>
      <c r="Q119" s="261">
        <f t="shared" si="31"/>
        <v>0</v>
      </c>
      <c r="R119" s="261">
        <f t="shared" si="31"/>
        <v>0</v>
      </c>
      <c r="S119" s="261">
        <f t="shared" si="31"/>
        <v>0</v>
      </c>
      <c r="T119" s="261">
        <f t="shared" si="31"/>
        <v>0</v>
      </c>
      <c r="U119" s="261">
        <f t="shared" si="31"/>
        <v>0</v>
      </c>
      <c r="V119" s="261">
        <f t="shared" si="31"/>
        <v>0</v>
      </c>
      <c r="W119" s="261">
        <f t="shared" si="31"/>
        <v>0</v>
      </c>
      <c r="X119" s="261">
        <f t="shared" si="31"/>
        <v>0</v>
      </c>
      <c r="Y119" s="261">
        <f t="shared" si="31"/>
        <v>0</v>
      </c>
      <c r="Z119" s="261">
        <f t="shared" si="31"/>
        <v>0</v>
      </c>
      <c r="AA119" s="261">
        <f t="shared" si="31"/>
        <v>0</v>
      </c>
      <c r="AB119" s="261">
        <f t="shared" ref="AB119:AM119" si="32">-AB118</f>
        <v>0</v>
      </c>
      <c r="AC119" s="261">
        <f t="shared" si="32"/>
        <v>0</v>
      </c>
      <c r="AD119" s="261">
        <f t="shared" si="32"/>
        <v>0</v>
      </c>
      <c r="AE119" s="261">
        <f t="shared" si="32"/>
        <v>0</v>
      </c>
      <c r="AF119" s="261">
        <f t="shared" si="32"/>
        <v>0</v>
      </c>
      <c r="AG119" s="261">
        <f t="shared" si="32"/>
        <v>0</v>
      </c>
      <c r="AH119" s="261">
        <f t="shared" si="32"/>
        <v>0</v>
      </c>
      <c r="AI119" s="261">
        <f t="shared" si="32"/>
        <v>0</v>
      </c>
      <c r="AJ119" s="261">
        <f t="shared" si="32"/>
        <v>0</v>
      </c>
      <c r="AK119" s="261">
        <f t="shared" si="32"/>
        <v>0</v>
      </c>
      <c r="AL119" s="261">
        <f t="shared" si="32"/>
        <v>0</v>
      </c>
      <c r="AM119" s="261">
        <f t="shared" si="32"/>
        <v>0</v>
      </c>
      <c r="AN119" s="181"/>
      <c r="AO119" s="181"/>
      <c r="AP119" s="181"/>
      <c r="AQ119" s="181"/>
      <c r="AR119" s="181"/>
      <c r="AS119" s="181"/>
      <c r="AT119" s="181"/>
      <c r="AU119" s="181"/>
      <c r="AV119" s="181"/>
      <c r="AW119" s="181"/>
      <c r="AX119" s="181"/>
      <c r="AY119" s="181"/>
      <c r="AZ119" s="181"/>
      <c r="BA119" s="181"/>
      <c r="BB119" s="181"/>
      <c r="BC119" s="181"/>
      <c r="BD119" s="181"/>
      <c r="BE119" s="181"/>
      <c r="BF119" s="181"/>
      <c r="BG119" s="181"/>
      <c r="BH119" s="181"/>
      <c r="BI119" s="181"/>
      <c r="BJ119" s="181"/>
      <c r="BK119" s="181"/>
      <c r="BL119" s="181"/>
      <c r="BM119" s="181"/>
      <c r="BN119" s="181"/>
      <c r="BO119" s="181"/>
      <c r="BP119" s="181"/>
      <c r="BQ119" s="181"/>
      <c r="BR119" s="181"/>
      <c r="BS119" s="181"/>
      <c r="BT119" s="181"/>
      <c r="BU119" s="181"/>
      <c r="BV119" s="181"/>
      <c r="BW119" s="181"/>
      <c r="BX119" s="181"/>
      <c r="BY119" s="181"/>
      <c r="BZ119" s="181"/>
      <c r="CA119" s="181"/>
      <c r="CB119" s="181"/>
    </row>
    <row r="120" spans="1:80" s="132" customFormat="1" x14ac:dyDescent="0.3">
      <c r="A120" s="47"/>
      <c r="B120" s="47"/>
      <c r="C120" s="47" t="s">
        <v>165</v>
      </c>
      <c r="D120" s="156" t="s">
        <v>214</v>
      </c>
      <c r="E120" s="164">
        <f t="shared" si="19"/>
        <v>0</v>
      </c>
      <c r="F120" s="266">
        <f t="shared" ref="F120:AA120" si="33">SUM(F118:F119)</f>
        <v>0</v>
      </c>
      <c r="G120" s="267">
        <f t="shared" si="33"/>
        <v>0</v>
      </c>
      <c r="H120" s="267">
        <f t="shared" si="33"/>
        <v>0</v>
      </c>
      <c r="I120" s="267">
        <f t="shared" si="33"/>
        <v>0</v>
      </c>
      <c r="J120" s="267">
        <f t="shared" si="33"/>
        <v>0</v>
      </c>
      <c r="K120" s="267">
        <f t="shared" si="33"/>
        <v>0</v>
      </c>
      <c r="L120" s="267">
        <f t="shared" si="33"/>
        <v>0</v>
      </c>
      <c r="M120" s="267">
        <f t="shared" si="33"/>
        <v>0</v>
      </c>
      <c r="N120" s="267">
        <f t="shared" si="33"/>
        <v>0</v>
      </c>
      <c r="O120" s="267">
        <f t="shared" si="33"/>
        <v>0</v>
      </c>
      <c r="P120" s="267">
        <f t="shared" si="33"/>
        <v>0</v>
      </c>
      <c r="Q120" s="267">
        <f t="shared" si="33"/>
        <v>0</v>
      </c>
      <c r="R120" s="267">
        <f t="shared" si="33"/>
        <v>0</v>
      </c>
      <c r="S120" s="267">
        <f t="shared" si="33"/>
        <v>0</v>
      </c>
      <c r="T120" s="267">
        <f t="shared" si="33"/>
        <v>0</v>
      </c>
      <c r="U120" s="267">
        <f t="shared" si="33"/>
        <v>0</v>
      </c>
      <c r="V120" s="267">
        <f t="shared" si="33"/>
        <v>0</v>
      </c>
      <c r="W120" s="267">
        <f t="shared" si="33"/>
        <v>0</v>
      </c>
      <c r="X120" s="267">
        <f t="shared" si="33"/>
        <v>0</v>
      </c>
      <c r="Y120" s="267">
        <f t="shared" si="33"/>
        <v>0</v>
      </c>
      <c r="Z120" s="267">
        <f t="shared" si="33"/>
        <v>0</v>
      </c>
      <c r="AA120" s="267">
        <f t="shared" si="33"/>
        <v>0</v>
      </c>
      <c r="AB120" s="267">
        <f t="shared" ref="AB120:AM120" si="34">SUM(AB118:AB119)</f>
        <v>0</v>
      </c>
      <c r="AC120" s="267">
        <f t="shared" si="34"/>
        <v>0</v>
      </c>
      <c r="AD120" s="267">
        <f t="shared" si="34"/>
        <v>0</v>
      </c>
      <c r="AE120" s="267">
        <f t="shared" si="34"/>
        <v>0</v>
      </c>
      <c r="AF120" s="267">
        <f t="shared" si="34"/>
        <v>0</v>
      </c>
      <c r="AG120" s="267">
        <f t="shared" si="34"/>
        <v>0</v>
      </c>
      <c r="AH120" s="267">
        <f t="shared" si="34"/>
        <v>0</v>
      </c>
      <c r="AI120" s="267">
        <f t="shared" si="34"/>
        <v>0</v>
      </c>
      <c r="AJ120" s="267">
        <f t="shared" si="34"/>
        <v>0</v>
      </c>
      <c r="AK120" s="267">
        <f t="shared" si="34"/>
        <v>0</v>
      </c>
      <c r="AL120" s="267">
        <f t="shared" si="34"/>
        <v>0</v>
      </c>
      <c r="AM120" s="267">
        <f t="shared" si="34"/>
        <v>0</v>
      </c>
      <c r="AN120" s="44"/>
      <c r="AO120" s="44"/>
      <c r="AP120" s="44"/>
      <c r="AQ120" s="44"/>
      <c r="AR120" s="44"/>
      <c r="AS120" s="4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  <c r="BF120" s="44"/>
      <c r="BG120" s="44"/>
      <c r="BH120" s="44"/>
      <c r="BI120" s="44"/>
      <c r="BJ120" s="44"/>
      <c r="BK120" s="44"/>
      <c r="BL120" s="44"/>
      <c r="BM120" s="44"/>
      <c r="BN120" s="44"/>
      <c r="BO120" s="44"/>
      <c r="BP120" s="44"/>
      <c r="BQ120" s="44"/>
      <c r="BR120" s="44"/>
      <c r="BS120" s="44"/>
      <c r="BT120" s="44"/>
      <c r="BU120" s="44"/>
      <c r="BV120" s="44"/>
      <c r="BW120" s="44"/>
      <c r="BX120" s="44"/>
      <c r="BY120" s="44"/>
      <c r="BZ120" s="44"/>
      <c r="CA120" s="44"/>
      <c r="CB120" s="44"/>
    </row>
    <row r="121" spans="1:80" x14ac:dyDescent="0.3">
      <c r="A121" s="47"/>
      <c r="B121" s="47"/>
      <c r="C121" s="2"/>
      <c r="D121" s="107"/>
      <c r="E121" s="161"/>
      <c r="F121" s="161"/>
      <c r="G121" s="161"/>
      <c r="H121" s="161"/>
      <c r="I121" s="16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161"/>
      <c r="Y121" s="161"/>
      <c r="Z121" s="161"/>
      <c r="AA121" s="161"/>
      <c r="AB121" s="161"/>
      <c r="AC121" s="161"/>
      <c r="AD121" s="161"/>
      <c r="AE121" s="163"/>
      <c r="AF121" s="163"/>
      <c r="AG121" s="163"/>
      <c r="AH121" s="163"/>
      <c r="AI121" s="163"/>
      <c r="AJ121" s="163"/>
      <c r="AK121" s="163"/>
      <c r="AL121" s="163"/>
      <c r="AM121" s="163"/>
      <c r="AN121" s="44"/>
      <c r="AO121" s="44"/>
      <c r="AP121" s="44"/>
      <c r="AQ121" s="44"/>
      <c r="AR121" s="44"/>
      <c r="AS121" s="4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  <c r="BF121" s="44"/>
      <c r="BG121" s="44"/>
      <c r="BH121" s="44"/>
      <c r="BI121" s="44"/>
      <c r="BJ121" s="44"/>
      <c r="BK121" s="44"/>
      <c r="BL121" s="44"/>
      <c r="BM121" s="44"/>
      <c r="BN121" s="44"/>
      <c r="BO121" s="44"/>
      <c r="BP121" s="44"/>
      <c r="BQ121" s="44"/>
      <c r="BR121" s="44"/>
      <c r="BS121" s="44"/>
      <c r="BT121" s="44"/>
      <c r="BU121" s="44"/>
      <c r="BV121" s="44"/>
      <c r="BW121" s="44"/>
      <c r="BX121" s="44"/>
      <c r="BY121" s="44"/>
      <c r="BZ121" s="44"/>
      <c r="CA121" s="44"/>
      <c r="CB121" s="44"/>
    </row>
    <row r="122" spans="1:80" ht="16.8" x14ac:dyDescent="0.3">
      <c r="A122" s="125"/>
      <c r="B122" s="125"/>
      <c r="C122" s="111" t="s">
        <v>166</v>
      </c>
      <c r="D122" s="112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  <c r="V122" s="167"/>
      <c r="W122" s="167"/>
      <c r="X122" s="167"/>
      <c r="Y122" s="167"/>
      <c r="Z122" s="167"/>
      <c r="AA122" s="167"/>
      <c r="AB122" s="167"/>
      <c r="AC122" s="167"/>
      <c r="AD122" s="167"/>
      <c r="AE122" s="163"/>
      <c r="AF122" s="163"/>
      <c r="AG122" s="163"/>
      <c r="AH122" s="163"/>
      <c r="AI122" s="163"/>
      <c r="AJ122" s="163"/>
      <c r="AK122" s="163"/>
      <c r="AL122" s="163"/>
      <c r="AM122" s="163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  <c r="BF122" s="44"/>
      <c r="BG122" s="44"/>
      <c r="BH122" s="44"/>
      <c r="BI122" s="44"/>
      <c r="BJ122" s="44"/>
      <c r="BK122" s="44"/>
      <c r="BL122" s="44"/>
      <c r="BM122" s="44"/>
      <c r="BN122" s="44"/>
      <c r="BO122" s="44"/>
      <c r="BP122" s="44"/>
      <c r="BQ122" s="44"/>
      <c r="BR122" s="44"/>
      <c r="BS122" s="44"/>
      <c r="BT122" s="44"/>
      <c r="BU122" s="44"/>
      <c r="BV122" s="44"/>
      <c r="BW122" s="44"/>
      <c r="BX122" s="44"/>
      <c r="BY122" s="44"/>
      <c r="BZ122" s="44"/>
      <c r="CA122" s="44"/>
      <c r="CB122" s="44"/>
    </row>
    <row r="123" spans="1:80" s="281" customFormat="1" x14ac:dyDescent="0.3">
      <c r="A123" s="275"/>
      <c r="B123" s="275"/>
      <c r="C123" s="276" t="s">
        <v>261</v>
      </c>
      <c r="D123" s="277" t="s">
        <v>214</v>
      </c>
      <c r="E123" s="278"/>
      <c r="F123" s="279">
        <f>E127</f>
        <v>0</v>
      </c>
      <c r="G123" s="279">
        <f t="shared" ref="G123:Z123" si="35">F127</f>
        <v>8.3600157805858579</v>
      </c>
      <c r="H123" s="279">
        <f>G127</f>
        <v>42.843070608744014</v>
      </c>
      <c r="I123" s="279">
        <f t="shared" si="35"/>
        <v>133.74740407693486</v>
      </c>
      <c r="J123" s="279">
        <f t="shared" si="35"/>
        <v>0</v>
      </c>
      <c r="K123" s="279">
        <f t="shared" si="35"/>
        <v>0</v>
      </c>
      <c r="L123" s="279">
        <f t="shared" si="35"/>
        <v>0</v>
      </c>
      <c r="M123" s="279">
        <f t="shared" si="35"/>
        <v>0</v>
      </c>
      <c r="N123" s="279">
        <f t="shared" si="35"/>
        <v>0</v>
      </c>
      <c r="O123" s="279">
        <f t="shared" si="35"/>
        <v>0</v>
      </c>
      <c r="P123" s="279">
        <f t="shared" si="35"/>
        <v>0</v>
      </c>
      <c r="Q123" s="279">
        <f t="shared" si="35"/>
        <v>0</v>
      </c>
      <c r="R123" s="279">
        <f t="shared" si="35"/>
        <v>0</v>
      </c>
      <c r="S123" s="279">
        <f t="shared" si="35"/>
        <v>0</v>
      </c>
      <c r="T123" s="279">
        <f t="shared" si="35"/>
        <v>0</v>
      </c>
      <c r="U123" s="279">
        <f t="shared" si="35"/>
        <v>0</v>
      </c>
      <c r="V123" s="279">
        <f t="shared" si="35"/>
        <v>0</v>
      </c>
      <c r="W123" s="279">
        <f t="shared" si="35"/>
        <v>0</v>
      </c>
      <c r="X123" s="279">
        <f t="shared" si="35"/>
        <v>0</v>
      </c>
      <c r="Y123" s="279">
        <f t="shared" si="35"/>
        <v>0</v>
      </c>
      <c r="Z123" s="279">
        <f t="shared" si="35"/>
        <v>0</v>
      </c>
      <c r="AA123" s="279">
        <f>Z127</f>
        <v>0</v>
      </c>
      <c r="AB123" s="279">
        <f t="shared" ref="AB123:AM123" si="36">AA127</f>
        <v>0</v>
      </c>
      <c r="AC123" s="279">
        <f t="shared" si="36"/>
        <v>0</v>
      </c>
      <c r="AD123" s="279">
        <f t="shared" si="36"/>
        <v>0</v>
      </c>
      <c r="AE123" s="279">
        <f t="shared" si="36"/>
        <v>0</v>
      </c>
      <c r="AF123" s="279">
        <f t="shared" si="36"/>
        <v>0</v>
      </c>
      <c r="AG123" s="279">
        <f t="shared" si="36"/>
        <v>0</v>
      </c>
      <c r="AH123" s="279">
        <f t="shared" si="36"/>
        <v>0</v>
      </c>
      <c r="AI123" s="279">
        <f t="shared" si="36"/>
        <v>0</v>
      </c>
      <c r="AJ123" s="279">
        <f t="shared" si="36"/>
        <v>0</v>
      </c>
      <c r="AK123" s="279">
        <f t="shared" si="36"/>
        <v>0</v>
      </c>
      <c r="AL123" s="279">
        <f t="shared" si="36"/>
        <v>0</v>
      </c>
      <c r="AM123" s="279">
        <f t="shared" si="36"/>
        <v>0</v>
      </c>
      <c r="AN123" s="280"/>
      <c r="AO123" s="280"/>
      <c r="AP123" s="280"/>
      <c r="AQ123" s="280"/>
      <c r="AR123" s="280"/>
      <c r="AS123" s="280"/>
      <c r="AT123" s="280"/>
      <c r="AU123" s="280"/>
      <c r="AV123" s="280"/>
      <c r="AW123" s="280"/>
      <c r="AX123" s="280"/>
      <c r="AY123" s="280"/>
      <c r="AZ123" s="280"/>
      <c r="BA123" s="280"/>
      <c r="BB123" s="280"/>
      <c r="BC123" s="280"/>
      <c r="BD123" s="280"/>
      <c r="BE123" s="280"/>
      <c r="BF123" s="280"/>
      <c r="BG123" s="280"/>
      <c r="BH123" s="280"/>
      <c r="BI123" s="280"/>
      <c r="BJ123" s="280"/>
      <c r="BK123" s="280"/>
      <c r="BL123" s="280"/>
      <c r="BM123" s="280"/>
      <c r="BN123" s="280"/>
      <c r="BO123" s="280"/>
      <c r="BP123" s="280"/>
      <c r="BQ123" s="280"/>
      <c r="BR123" s="280"/>
      <c r="BS123" s="280"/>
      <c r="BT123" s="280"/>
      <c r="BU123" s="280"/>
      <c r="BV123" s="280"/>
      <c r="BW123" s="280"/>
      <c r="BX123" s="280"/>
      <c r="BY123" s="280"/>
      <c r="BZ123" s="280"/>
      <c r="CA123" s="280"/>
      <c r="CB123" s="280"/>
    </row>
    <row r="124" spans="1:80" x14ac:dyDescent="0.3">
      <c r="A124" s="47"/>
      <c r="B124" s="47"/>
      <c r="C124" s="2" t="s">
        <v>262</v>
      </c>
      <c r="D124" s="156" t="s">
        <v>214</v>
      </c>
      <c r="E124" s="164">
        <f>SUM(F124:AM124)</f>
        <v>164.19923395965782</v>
      </c>
      <c r="F124" s="171">
        <f t="shared" ref="F124:AM124" si="37">-F117</f>
        <v>8.3600157805858579</v>
      </c>
      <c r="G124" s="171">
        <f t="shared" si="37"/>
        <v>34.483054828158153</v>
      </c>
      <c r="H124" s="171">
        <f t="shared" si="37"/>
        <v>90.904333468190828</v>
      </c>
      <c r="I124" s="171">
        <f t="shared" si="37"/>
        <v>30.451829882722961</v>
      </c>
      <c r="J124" s="171">
        <f t="shared" si="37"/>
        <v>0</v>
      </c>
      <c r="K124" s="171">
        <f t="shared" si="37"/>
        <v>0</v>
      </c>
      <c r="L124" s="171">
        <f t="shared" si="37"/>
        <v>0</v>
      </c>
      <c r="M124" s="171">
        <f t="shared" si="37"/>
        <v>0</v>
      </c>
      <c r="N124" s="171">
        <f t="shared" si="37"/>
        <v>0</v>
      </c>
      <c r="O124" s="171">
        <f t="shared" si="37"/>
        <v>0</v>
      </c>
      <c r="P124" s="171">
        <f t="shared" si="37"/>
        <v>0</v>
      </c>
      <c r="Q124" s="171">
        <f t="shared" si="37"/>
        <v>0</v>
      </c>
      <c r="R124" s="171">
        <f t="shared" si="37"/>
        <v>0</v>
      </c>
      <c r="S124" s="171">
        <f t="shared" si="37"/>
        <v>0</v>
      </c>
      <c r="T124" s="171">
        <f t="shared" si="37"/>
        <v>0</v>
      </c>
      <c r="U124" s="171">
        <f t="shared" si="37"/>
        <v>0</v>
      </c>
      <c r="V124" s="171">
        <f t="shared" si="37"/>
        <v>0</v>
      </c>
      <c r="W124" s="171">
        <f t="shared" si="37"/>
        <v>0</v>
      </c>
      <c r="X124" s="171">
        <f t="shared" si="37"/>
        <v>0</v>
      </c>
      <c r="Y124" s="171">
        <f t="shared" si="37"/>
        <v>0</v>
      </c>
      <c r="Z124" s="171">
        <f t="shared" si="37"/>
        <v>0</v>
      </c>
      <c r="AA124" s="171">
        <f t="shared" si="37"/>
        <v>0</v>
      </c>
      <c r="AB124" s="171">
        <f t="shared" si="37"/>
        <v>0</v>
      </c>
      <c r="AC124" s="171">
        <f t="shared" si="37"/>
        <v>0</v>
      </c>
      <c r="AD124" s="171">
        <f t="shared" si="37"/>
        <v>0</v>
      </c>
      <c r="AE124" s="171">
        <f t="shared" si="37"/>
        <v>0</v>
      </c>
      <c r="AF124" s="171">
        <f t="shared" si="37"/>
        <v>0</v>
      </c>
      <c r="AG124" s="171">
        <f t="shared" si="37"/>
        <v>0</v>
      </c>
      <c r="AH124" s="171">
        <f t="shared" si="37"/>
        <v>0</v>
      </c>
      <c r="AI124" s="171">
        <f t="shared" si="37"/>
        <v>0</v>
      </c>
      <c r="AJ124" s="171">
        <f t="shared" si="37"/>
        <v>0</v>
      </c>
      <c r="AK124" s="171">
        <f t="shared" si="37"/>
        <v>0</v>
      </c>
      <c r="AL124" s="171">
        <f t="shared" si="37"/>
        <v>0</v>
      </c>
      <c r="AM124" s="171">
        <f t="shared" si="37"/>
        <v>0</v>
      </c>
      <c r="AN124" s="44"/>
      <c r="AO124" s="44"/>
      <c r="AP124" s="44"/>
      <c r="AQ124" s="44"/>
      <c r="AR124" s="44"/>
      <c r="AS124" s="4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  <c r="BF124" s="44"/>
      <c r="BG124" s="44"/>
      <c r="BH124" s="44"/>
      <c r="BI124" s="44"/>
      <c r="BJ124" s="44"/>
      <c r="BK124" s="44"/>
      <c r="BL124" s="44"/>
      <c r="BM124" s="44"/>
      <c r="BN124" s="44"/>
      <c r="BO124" s="44"/>
      <c r="BP124" s="44"/>
      <c r="BQ124" s="44"/>
      <c r="BR124" s="44"/>
      <c r="BS124" s="44"/>
      <c r="BT124" s="44"/>
      <c r="BU124" s="44"/>
      <c r="BV124" s="44"/>
      <c r="BW124" s="44"/>
      <c r="BX124" s="44"/>
      <c r="BY124" s="44"/>
      <c r="BZ124" s="44"/>
      <c r="CA124" s="44"/>
      <c r="CB124" s="44"/>
    </row>
    <row r="125" spans="1:80" x14ac:dyDescent="0.3">
      <c r="A125" s="47"/>
      <c r="B125" s="47"/>
      <c r="C125" s="2" t="s">
        <v>319</v>
      </c>
      <c r="D125" s="156" t="s">
        <v>214</v>
      </c>
      <c r="E125" s="164">
        <f>SUM(F125:AM125)</f>
        <v>0</v>
      </c>
      <c r="F125" s="405">
        <f>IF(F78=1,-F198,0)</f>
        <v>0</v>
      </c>
      <c r="G125" s="309">
        <f t="shared" ref="G125:AM125" si="38">IF(G78=1,-G198,0)</f>
        <v>0</v>
      </c>
      <c r="H125" s="309">
        <f t="shared" si="38"/>
        <v>0</v>
      </c>
      <c r="I125" s="309">
        <f t="shared" si="38"/>
        <v>0</v>
      </c>
      <c r="J125" s="309">
        <f t="shared" si="38"/>
        <v>0</v>
      </c>
      <c r="K125" s="309">
        <f t="shared" si="38"/>
        <v>0</v>
      </c>
      <c r="L125" s="309">
        <f t="shared" si="38"/>
        <v>0</v>
      </c>
      <c r="M125" s="309">
        <f t="shared" si="38"/>
        <v>0</v>
      </c>
      <c r="N125" s="309">
        <f t="shared" si="38"/>
        <v>0</v>
      </c>
      <c r="O125" s="309">
        <f t="shared" si="38"/>
        <v>0</v>
      </c>
      <c r="P125" s="309">
        <f t="shared" si="38"/>
        <v>0</v>
      </c>
      <c r="Q125" s="309">
        <f t="shared" si="38"/>
        <v>0</v>
      </c>
      <c r="R125" s="309">
        <f t="shared" si="38"/>
        <v>0</v>
      </c>
      <c r="S125" s="309">
        <f t="shared" si="38"/>
        <v>0</v>
      </c>
      <c r="T125" s="309">
        <f t="shared" si="38"/>
        <v>0</v>
      </c>
      <c r="U125" s="309">
        <f t="shared" si="38"/>
        <v>0</v>
      </c>
      <c r="V125" s="309">
        <f t="shared" si="38"/>
        <v>0</v>
      </c>
      <c r="W125" s="309">
        <f t="shared" si="38"/>
        <v>0</v>
      </c>
      <c r="X125" s="309">
        <f t="shared" si="38"/>
        <v>0</v>
      </c>
      <c r="Y125" s="309">
        <f t="shared" si="38"/>
        <v>0</v>
      </c>
      <c r="Z125" s="309">
        <f t="shared" si="38"/>
        <v>0</v>
      </c>
      <c r="AA125" s="309">
        <f t="shared" si="38"/>
        <v>0</v>
      </c>
      <c r="AB125" s="309">
        <f t="shared" si="38"/>
        <v>0</v>
      </c>
      <c r="AC125" s="309">
        <f t="shared" si="38"/>
        <v>0</v>
      </c>
      <c r="AD125" s="309">
        <f t="shared" si="38"/>
        <v>0</v>
      </c>
      <c r="AE125" s="309">
        <f t="shared" si="38"/>
        <v>0</v>
      </c>
      <c r="AF125" s="309">
        <f t="shared" si="38"/>
        <v>0</v>
      </c>
      <c r="AG125" s="309">
        <f t="shared" si="38"/>
        <v>0</v>
      </c>
      <c r="AH125" s="309">
        <f t="shared" si="38"/>
        <v>0</v>
      </c>
      <c r="AI125" s="309">
        <f t="shared" si="38"/>
        <v>0</v>
      </c>
      <c r="AJ125" s="309">
        <f t="shared" si="38"/>
        <v>0</v>
      </c>
      <c r="AK125" s="309">
        <f t="shared" si="38"/>
        <v>0</v>
      </c>
      <c r="AL125" s="309">
        <f t="shared" si="38"/>
        <v>0</v>
      </c>
      <c r="AM125" s="309">
        <f t="shared" si="38"/>
        <v>0</v>
      </c>
      <c r="AN125" s="44"/>
      <c r="AO125" s="44"/>
      <c r="AP125" s="44"/>
      <c r="AQ125" s="44"/>
      <c r="AR125" s="44"/>
      <c r="AS125" s="4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  <c r="BF125" s="44"/>
      <c r="BG125" s="44"/>
      <c r="BH125" s="44"/>
      <c r="BI125" s="44"/>
      <c r="BJ125" s="44"/>
      <c r="BK125" s="44"/>
      <c r="BL125" s="44"/>
      <c r="BM125" s="44"/>
      <c r="BN125" s="44"/>
      <c r="BO125" s="44"/>
      <c r="BP125" s="44"/>
      <c r="BQ125" s="44"/>
      <c r="BR125" s="44"/>
      <c r="BS125" s="44"/>
      <c r="BT125" s="44"/>
      <c r="BU125" s="44"/>
      <c r="BV125" s="44"/>
      <c r="BW125" s="44"/>
      <c r="BX125" s="44"/>
      <c r="BY125" s="44"/>
      <c r="BZ125" s="44"/>
      <c r="CA125" s="44"/>
      <c r="CB125" s="44"/>
    </row>
    <row r="126" spans="1:80" x14ac:dyDescent="0.3">
      <c r="A126" s="47"/>
      <c r="B126" s="47"/>
      <c r="C126" s="2" t="s">
        <v>263</v>
      </c>
      <c r="D126" s="156" t="s">
        <v>214</v>
      </c>
      <c r="E126" s="164">
        <f>SUM(F126:AM126)</f>
        <v>-164.19923395965782</v>
      </c>
      <c r="F126" s="171">
        <f>-SUM(F123:F125)*F94</f>
        <v>0</v>
      </c>
      <c r="G126" s="171">
        <f>-SUM(G123:G125)*G94</f>
        <v>0</v>
      </c>
      <c r="H126" s="171">
        <f t="shared" ref="H126:AM126" si="39">-SUM(H123:H125)*H94</f>
        <v>0</v>
      </c>
      <c r="I126" s="171">
        <f t="shared" si="39"/>
        <v>-164.19923395965782</v>
      </c>
      <c r="J126" s="171">
        <f t="shared" si="39"/>
        <v>0</v>
      </c>
      <c r="K126" s="171">
        <f t="shared" si="39"/>
        <v>0</v>
      </c>
      <c r="L126" s="171">
        <f t="shared" si="39"/>
        <v>0</v>
      </c>
      <c r="M126" s="171">
        <f t="shared" si="39"/>
        <v>0</v>
      </c>
      <c r="N126" s="171">
        <f t="shared" si="39"/>
        <v>0</v>
      </c>
      <c r="O126" s="171">
        <f t="shared" si="39"/>
        <v>0</v>
      </c>
      <c r="P126" s="171">
        <f t="shared" si="39"/>
        <v>0</v>
      </c>
      <c r="Q126" s="171">
        <f t="shared" si="39"/>
        <v>0</v>
      </c>
      <c r="R126" s="171">
        <f t="shared" si="39"/>
        <v>0</v>
      </c>
      <c r="S126" s="171">
        <f t="shared" si="39"/>
        <v>0</v>
      </c>
      <c r="T126" s="171">
        <f t="shared" si="39"/>
        <v>0</v>
      </c>
      <c r="U126" s="171">
        <f t="shared" si="39"/>
        <v>0</v>
      </c>
      <c r="V126" s="171">
        <f t="shared" si="39"/>
        <v>0</v>
      </c>
      <c r="W126" s="171">
        <f t="shared" si="39"/>
        <v>0</v>
      </c>
      <c r="X126" s="171">
        <f t="shared" si="39"/>
        <v>0</v>
      </c>
      <c r="Y126" s="171">
        <f t="shared" si="39"/>
        <v>0</v>
      </c>
      <c r="Z126" s="171">
        <f t="shared" si="39"/>
        <v>0</v>
      </c>
      <c r="AA126" s="171">
        <f t="shared" si="39"/>
        <v>0</v>
      </c>
      <c r="AB126" s="171">
        <f t="shared" si="39"/>
        <v>0</v>
      </c>
      <c r="AC126" s="171">
        <f t="shared" si="39"/>
        <v>0</v>
      </c>
      <c r="AD126" s="171">
        <f t="shared" si="39"/>
        <v>0</v>
      </c>
      <c r="AE126" s="171">
        <f t="shared" si="39"/>
        <v>0</v>
      </c>
      <c r="AF126" s="171">
        <f t="shared" si="39"/>
        <v>0</v>
      </c>
      <c r="AG126" s="171">
        <f t="shared" si="39"/>
        <v>0</v>
      </c>
      <c r="AH126" s="171">
        <f t="shared" si="39"/>
        <v>0</v>
      </c>
      <c r="AI126" s="171">
        <f t="shared" si="39"/>
        <v>0</v>
      </c>
      <c r="AJ126" s="171">
        <f t="shared" si="39"/>
        <v>0</v>
      </c>
      <c r="AK126" s="171">
        <f t="shared" si="39"/>
        <v>0</v>
      </c>
      <c r="AL126" s="171">
        <f t="shared" si="39"/>
        <v>0</v>
      </c>
      <c r="AM126" s="171">
        <f t="shared" si="39"/>
        <v>0</v>
      </c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  <c r="BF126" s="44"/>
      <c r="BG126" s="44"/>
      <c r="BH126" s="44"/>
      <c r="BI126" s="44"/>
      <c r="BJ126" s="44"/>
      <c r="BK126" s="44"/>
      <c r="BL126" s="44"/>
      <c r="BM126" s="44"/>
      <c r="BN126" s="44"/>
      <c r="BO126" s="44"/>
      <c r="BP126" s="44"/>
      <c r="BQ126" s="44"/>
      <c r="BR126" s="44"/>
      <c r="BS126" s="44"/>
      <c r="BT126" s="44"/>
      <c r="BU126" s="44"/>
      <c r="BV126" s="44"/>
      <c r="BW126" s="44"/>
      <c r="BX126" s="44"/>
      <c r="BY126" s="44"/>
      <c r="BZ126" s="44"/>
      <c r="CA126" s="44"/>
      <c r="CB126" s="44"/>
    </row>
    <row r="127" spans="1:80" s="197" customFormat="1" x14ac:dyDescent="0.3">
      <c r="A127" s="194"/>
      <c r="B127" s="194"/>
      <c r="C127" s="195" t="s">
        <v>264</v>
      </c>
      <c r="D127" s="156" t="s">
        <v>214</v>
      </c>
      <c r="E127" s="262"/>
      <c r="F127" s="264">
        <f>SUM(F123:F126)</f>
        <v>8.3600157805858579</v>
      </c>
      <c r="G127" s="265">
        <f t="shared" ref="G127:AM127" si="40">SUM(G123:G126)</f>
        <v>42.843070608744014</v>
      </c>
      <c r="H127" s="265">
        <f t="shared" si="40"/>
        <v>133.74740407693486</v>
      </c>
      <c r="I127" s="265">
        <f t="shared" si="40"/>
        <v>0</v>
      </c>
      <c r="J127" s="265">
        <f t="shared" si="40"/>
        <v>0</v>
      </c>
      <c r="K127" s="265">
        <f t="shared" si="40"/>
        <v>0</v>
      </c>
      <c r="L127" s="265">
        <f t="shared" si="40"/>
        <v>0</v>
      </c>
      <c r="M127" s="265">
        <f t="shared" si="40"/>
        <v>0</v>
      </c>
      <c r="N127" s="265">
        <f t="shared" si="40"/>
        <v>0</v>
      </c>
      <c r="O127" s="265">
        <f t="shared" si="40"/>
        <v>0</v>
      </c>
      <c r="P127" s="265">
        <f t="shared" si="40"/>
        <v>0</v>
      </c>
      <c r="Q127" s="265">
        <f t="shared" si="40"/>
        <v>0</v>
      </c>
      <c r="R127" s="265">
        <f t="shared" si="40"/>
        <v>0</v>
      </c>
      <c r="S127" s="265">
        <f t="shared" si="40"/>
        <v>0</v>
      </c>
      <c r="T127" s="265">
        <f t="shared" si="40"/>
        <v>0</v>
      </c>
      <c r="U127" s="265">
        <f t="shared" si="40"/>
        <v>0</v>
      </c>
      <c r="V127" s="265">
        <f t="shared" si="40"/>
        <v>0</v>
      </c>
      <c r="W127" s="265">
        <f t="shared" si="40"/>
        <v>0</v>
      </c>
      <c r="X127" s="265">
        <f t="shared" si="40"/>
        <v>0</v>
      </c>
      <c r="Y127" s="265">
        <f t="shared" si="40"/>
        <v>0</v>
      </c>
      <c r="Z127" s="265">
        <f t="shared" si="40"/>
        <v>0</v>
      </c>
      <c r="AA127" s="265">
        <f t="shared" si="40"/>
        <v>0</v>
      </c>
      <c r="AB127" s="265">
        <f t="shared" si="40"/>
        <v>0</v>
      </c>
      <c r="AC127" s="265">
        <f t="shared" si="40"/>
        <v>0</v>
      </c>
      <c r="AD127" s="265">
        <f t="shared" si="40"/>
        <v>0</v>
      </c>
      <c r="AE127" s="265">
        <f t="shared" si="40"/>
        <v>0</v>
      </c>
      <c r="AF127" s="265">
        <f t="shared" si="40"/>
        <v>0</v>
      </c>
      <c r="AG127" s="265">
        <f t="shared" si="40"/>
        <v>0</v>
      </c>
      <c r="AH127" s="265">
        <f t="shared" si="40"/>
        <v>0</v>
      </c>
      <c r="AI127" s="265">
        <f t="shared" si="40"/>
        <v>0</v>
      </c>
      <c r="AJ127" s="265">
        <f t="shared" si="40"/>
        <v>0</v>
      </c>
      <c r="AK127" s="265">
        <f t="shared" si="40"/>
        <v>0</v>
      </c>
      <c r="AL127" s="265">
        <f t="shared" si="40"/>
        <v>0</v>
      </c>
      <c r="AM127" s="265">
        <f t="shared" si="40"/>
        <v>0</v>
      </c>
      <c r="AN127" s="263"/>
      <c r="AO127" s="263"/>
      <c r="AP127" s="263"/>
      <c r="AQ127" s="263"/>
      <c r="AR127" s="263"/>
      <c r="AS127" s="263"/>
      <c r="AT127" s="263"/>
      <c r="AU127" s="263"/>
      <c r="AV127" s="263"/>
      <c r="AW127" s="263"/>
      <c r="AX127" s="263"/>
      <c r="AY127" s="263"/>
      <c r="AZ127" s="263"/>
      <c r="BA127" s="263"/>
      <c r="BB127" s="263"/>
      <c r="BC127" s="263"/>
      <c r="BD127" s="263"/>
      <c r="BE127" s="263"/>
      <c r="BF127" s="263"/>
      <c r="BG127" s="263"/>
      <c r="BH127" s="263"/>
      <c r="BI127" s="263"/>
      <c r="BJ127" s="263"/>
      <c r="BK127" s="263"/>
      <c r="BL127" s="263"/>
      <c r="BM127" s="263"/>
      <c r="BN127" s="263"/>
      <c r="BO127" s="263"/>
      <c r="BP127" s="263"/>
      <c r="BQ127" s="263"/>
      <c r="BR127" s="263"/>
      <c r="BS127" s="263"/>
      <c r="BT127" s="263"/>
      <c r="BU127" s="263"/>
      <c r="BV127" s="263"/>
      <c r="BW127" s="263"/>
      <c r="BX127" s="263"/>
      <c r="BY127" s="263"/>
      <c r="BZ127" s="263"/>
      <c r="CA127" s="263"/>
      <c r="CB127" s="263"/>
    </row>
    <row r="128" spans="1:80" x14ac:dyDescent="0.3">
      <c r="A128" s="47"/>
      <c r="B128" s="47"/>
      <c r="C128" s="2"/>
      <c r="D128" s="107"/>
      <c r="E128" s="161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22"/>
      <c r="R128" s="222"/>
      <c r="S128" s="222"/>
      <c r="T128" s="222"/>
      <c r="U128" s="222"/>
      <c r="V128" s="222"/>
      <c r="W128" s="222"/>
      <c r="X128" s="222"/>
      <c r="Y128" s="222"/>
      <c r="Z128" s="222"/>
      <c r="AA128" s="222"/>
      <c r="AB128" s="222"/>
      <c r="AC128" s="222"/>
      <c r="AD128" s="222"/>
      <c r="AE128" s="222"/>
      <c r="AF128" s="222"/>
      <c r="AG128" s="222"/>
      <c r="AH128" s="222"/>
      <c r="AI128" s="222"/>
      <c r="AJ128" s="222"/>
      <c r="AK128" s="222"/>
      <c r="AL128" s="222"/>
      <c r="AM128" s="222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  <c r="BF128" s="44"/>
      <c r="BG128" s="44"/>
      <c r="BH128" s="44"/>
      <c r="BI128" s="44"/>
      <c r="BJ128" s="44"/>
      <c r="BK128" s="44"/>
      <c r="BL128" s="44"/>
      <c r="BM128" s="44"/>
      <c r="BN128" s="44"/>
      <c r="BO128" s="44"/>
      <c r="BP128" s="44"/>
      <c r="BQ128" s="44"/>
      <c r="BR128" s="44"/>
      <c r="BS128" s="44"/>
      <c r="BT128" s="44"/>
      <c r="BU128" s="44"/>
      <c r="BV128" s="44"/>
      <c r="BW128" s="44"/>
      <c r="BX128" s="44"/>
      <c r="BY128" s="44"/>
      <c r="BZ128" s="44"/>
      <c r="CA128" s="44"/>
      <c r="CB128" s="44"/>
    </row>
    <row r="129" spans="1:80" s="368" customFormat="1" x14ac:dyDescent="0.3">
      <c r="A129" s="365"/>
      <c r="B129" s="365"/>
      <c r="C129" s="376" t="s">
        <v>271</v>
      </c>
      <c r="D129" s="366" t="s">
        <v>214</v>
      </c>
      <c r="E129" s="377"/>
      <c r="F129" s="378">
        <f>E133</f>
        <v>0</v>
      </c>
      <c r="G129" s="378">
        <f t="shared" ref="G129:I129" si="41">F133</f>
        <v>8359932.1804280514</v>
      </c>
      <c r="H129" s="378">
        <f t="shared" si="41"/>
        <v>42543369.486848399</v>
      </c>
      <c r="I129" s="378">
        <f t="shared" si="41"/>
        <v>131753796.48945916</v>
      </c>
      <c r="J129" s="378">
        <f t="shared" ref="J129:AM129" si="42">I133</f>
        <v>0</v>
      </c>
      <c r="K129" s="378">
        <f t="shared" si="42"/>
        <v>0</v>
      </c>
      <c r="L129" s="378">
        <f t="shared" si="42"/>
        <v>0</v>
      </c>
      <c r="M129" s="378">
        <f t="shared" si="42"/>
        <v>0</v>
      </c>
      <c r="N129" s="378">
        <f t="shared" si="42"/>
        <v>0</v>
      </c>
      <c r="O129" s="378">
        <f t="shared" si="42"/>
        <v>0</v>
      </c>
      <c r="P129" s="378">
        <f t="shared" si="42"/>
        <v>0</v>
      </c>
      <c r="Q129" s="378">
        <f t="shared" si="42"/>
        <v>0</v>
      </c>
      <c r="R129" s="378">
        <f t="shared" si="42"/>
        <v>0</v>
      </c>
      <c r="S129" s="378">
        <f t="shared" si="42"/>
        <v>0</v>
      </c>
      <c r="T129" s="378">
        <f t="shared" si="42"/>
        <v>0</v>
      </c>
      <c r="U129" s="378">
        <f t="shared" si="42"/>
        <v>0</v>
      </c>
      <c r="V129" s="378">
        <f t="shared" si="42"/>
        <v>0</v>
      </c>
      <c r="W129" s="378">
        <f t="shared" si="42"/>
        <v>0</v>
      </c>
      <c r="X129" s="378">
        <f t="shared" si="42"/>
        <v>0</v>
      </c>
      <c r="Y129" s="378">
        <f t="shared" si="42"/>
        <v>0</v>
      </c>
      <c r="Z129" s="378">
        <f t="shared" si="42"/>
        <v>0</v>
      </c>
      <c r="AA129" s="378">
        <f t="shared" si="42"/>
        <v>0</v>
      </c>
      <c r="AB129" s="378">
        <f t="shared" si="42"/>
        <v>0</v>
      </c>
      <c r="AC129" s="378">
        <f t="shared" si="42"/>
        <v>0</v>
      </c>
      <c r="AD129" s="378">
        <f t="shared" si="42"/>
        <v>0</v>
      </c>
      <c r="AE129" s="378">
        <f t="shared" si="42"/>
        <v>0</v>
      </c>
      <c r="AF129" s="378">
        <f t="shared" si="42"/>
        <v>0</v>
      </c>
      <c r="AG129" s="378">
        <f t="shared" si="42"/>
        <v>0</v>
      </c>
      <c r="AH129" s="378">
        <f t="shared" si="42"/>
        <v>0</v>
      </c>
      <c r="AI129" s="378">
        <f t="shared" si="42"/>
        <v>0</v>
      </c>
      <c r="AJ129" s="378">
        <f t="shared" si="42"/>
        <v>0</v>
      </c>
      <c r="AK129" s="378">
        <f t="shared" si="42"/>
        <v>0</v>
      </c>
      <c r="AL129" s="378">
        <f t="shared" si="42"/>
        <v>0</v>
      </c>
      <c r="AM129" s="378">
        <f t="shared" si="42"/>
        <v>0</v>
      </c>
      <c r="AO129" s="379"/>
      <c r="AP129" s="379"/>
      <c r="AQ129" s="379"/>
      <c r="AR129" s="379"/>
      <c r="AS129" s="379"/>
      <c r="AT129" s="379"/>
      <c r="AU129" s="379"/>
      <c r="AV129" s="379"/>
      <c r="AW129" s="379"/>
      <c r="AX129" s="379"/>
      <c r="AY129" s="379"/>
      <c r="AZ129" s="379"/>
      <c r="BA129" s="379"/>
      <c r="BB129" s="379"/>
      <c r="BC129" s="379"/>
      <c r="BD129" s="379"/>
      <c r="BE129" s="379"/>
      <c r="BF129" s="379"/>
      <c r="BG129" s="379"/>
      <c r="BH129" s="379"/>
      <c r="BI129" s="379"/>
      <c r="BJ129" s="379"/>
      <c r="BK129" s="379"/>
      <c r="BL129" s="379"/>
      <c r="BM129" s="379"/>
      <c r="BN129" s="379"/>
      <c r="BO129" s="379"/>
      <c r="BP129" s="379"/>
      <c r="BQ129" s="379"/>
      <c r="BR129" s="379"/>
      <c r="BS129" s="379"/>
      <c r="BT129" s="379"/>
      <c r="BU129" s="379"/>
      <c r="BV129" s="379"/>
      <c r="BW129" s="379"/>
      <c r="BX129" s="379"/>
      <c r="BY129" s="379"/>
      <c r="BZ129" s="379"/>
      <c r="CA129" s="379"/>
      <c r="CB129" s="379"/>
    </row>
    <row r="130" spans="1:80" s="368" customFormat="1" x14ac:dyDescent="0.3">
      <c r="A130" s="365"/>
      <c r="B130" s="365"/>
      <c r="C130" s="376" t="s">
        <v>272</v>
      </c>
      <c r="D130" s="366" t="s">
        <v>214</v>
      </c>
      <c r="E130" s="164">
        <f>SUM(F130:AM130)</f>
        <v>170109410.551314</v>
      </c>
      <c r="F130" s="406">
        <f>-F116</f>
        <v>8359932.1804280514</v>
      </c>
      <c r="G130" s="407">
        <f t="shared" ref="G130:I130" si="43">-G116</f>
        <v>34482709.997609869</v>
      </c>
      <c r="H130" s="407">
        <f t="shared" si="43"/>
        <v>90903424.424856141</v>
      </c>
      <c r="I130" s="407">
        <f t="shared" si="43"/>
        <v>36363343.948419921</v>
      </c>
      <c r="J130" s="407">
        <f t="shared" ref="J130:AM130" si="44">-J116</f>
        <v>0</v>
      </c>
      <c r="K130" s="407">
        <f t="shared" si="44"/>
        <v>0</v>
      </c>
      <c r="L130" s="407">
        <f t="shared" si="44"/>
        <v>0</v>
      </c>
      <c r="M130" s="407">
        <f t="shared" si="44"/>
        <v>0</v>
      </c>
      <c r="N130" s="407">
        <f t="shared" si="44"/>
        <v>0</v>
      </c>
      <c r="O130" s="407">
        <f t="shared" si="44"/>
        <v>0</v>
      </c>
      <c r="P130" s="407">
        <f t="shared" si="44"/>
        <v>0</v>
      </c>
      <c r="Q130" s="407">
        <f t="shared" si="44"/>
        <v>0</v>
      </c>
      <c r="R130" s="407">
        <f t="shared" si="44"/>
        <v>0</v>
      </c>
      <c r="S130" s="407">
        <f t="shared" si="44"/>
        <v>0</v>
      </c>
      <c r="T130" s="407">
        <f t="shared" si="44"/>
        <v>0</v>
      </c>
      <c r="U130" s="407">
        <f t="shared" si="44"/>
        <v>0</v>
      </c>
      <c r="V130" s="407">
        <f t="shared" si="44"/>
        <v>0</v>
      </c>
      <c r="W130" s="407">
        <f t="shared" si="44"/>
        <v>0</v>
      </c>
      <c r="X130" s="407">
        <f t="shared" si="44"/>
        <v>0</v>
      </c>
      <c r="Y130" s="407">
        <f t="shared" si="44"/>
        <v>0</v>
      </c>
      <c r="Z130" s="407">
        <f t="shared" si="44"/>
        <v>0</v>
      </c>
      <c r="AA130" s="407">
        <f t="shared" si="44"/>
        <v>0</v>
      </c>
      <c r="AB130" s="407">
        <f t="shared" si="44"/>
        <v>0</v>
      </c>
      <c r="AC130" s="407">
        <f t="shared" si="44"/>
        <v>0</v>
      </c>
      <c r="AD130" s="407">
        <f t="shared" si="44"/>
        <v>0</v>
      </c>
      <c r="AE130" s="407">
        <f t="shared" si="44"/>
        <v>0</v>
      </c>
      <c r="AF130" s="407">
        <f t="shared" si="44"/>
        <v>0</v>
      </c>
      <c r="AG130" s="407">
        <f t="shared" si="44"/>
        <v>0</v>
      </c>
      <c r="AH130" s="407">
        <f t="shared" si="44"/>
        <v>0</v>
      </c>
      <c r="AI130" s="407">
        <f t="shared" si="44"/>
        <v>0</v>
      </c>
      <c r="AJ130" s="407">
        <f t="shared" si="44"/>
        <v>0</v>
      </c>
      <c r="AK130" s="407">
        <f t="shared" si="44"/>
        <v>0</v>
      </c>
      <c r="AL130" s="407">
        <f t="shared" si="44"/>
        <v>0</v>
      </c>
      <c r="AM130" s="407">
        <f t="shared" si="44"/>
        <v>0</v>
      </c>
      <c r="AO130" s="379"/>
      <c r="AP130" s="379"/>
      <c r="AQ130" s="379"/>
      <c r="AR130" s="379"/>
      <c r="AS130" s="379"/>
      <c r="AT130" s="379"/>
      <c r="AU130" s="379"/>
      <c r="AV130" s="379"/>
      <c r="AW130" s="379"/>
      <c r="AX130" s="379"/>
      <c r="AY130" s="379"/>
      <c r="AZ130" s="379"/>
      <c r="BA130" s="379"/>
      <c r="BB130" s="379"/>
      <c r="BC130" s="379"/>
      <c r="BD130" s="379"/>
      <c r="BE130" s="379"/>
      <c r="BF130" s="379"/>
      <c r="BG130" s="379"/>
      <c r="BH130" s="379"/>
      <c r="BI130" s="379"/>
      <c r="BJ130" s="379"/>
      <c r="BK130" s="379"/>
      <c r="BL130" s="379"/>
      <c r="BM130" s="379"/>
      <c r="BN130" s="379"/>
      <c r="BO130" s="379"/>
      <c r="BP130" s="379"/>
      <c r="BQ130" s="379"/>
      <c r="BR130" s="379"/>
      <c r="BS130" s="379"/>
      <c r="BT130" s="379"/>
      <c r="BU130" s="379"/>
      <c r="BV130" s="379"/>
      <c r="BW130" s="379"/>
      <c r="BX130" s="379"/>
      <c r="BY130" s="379"/>
      <c r="BZ130" s="379"/>
      <c r="CA130" s="379"/>
      <c r="CB130" s="379"/>
    </row>
    <row r="131" spans="1:80" s="368" customFormat="1" x14ac:dyDescent="0.3">
      <c r="A131" s="365"/>
      <c r="B131" s="365"/>
      <c r="C131" s="376" t="s">
        <v>320</v>
      </c>
      <c r="D131" s="366" t="s">
        <v>214</v>
      </c>
      <c r="E131" s="164">
        <f t="shared" ref="E131:E132" si="45">SUM(F131:AM131)</f>
        <v>-7834884.1316912379</v>
      </c>
      <c r="F131" s="408">
        <f>IF(F78=1,-F204,0)</f>
        <v>0</v>
      </c>
      <c r="G131" s="409">
        <f t="shared" ref="G131:AM131" si="46">IF(G78=1,-G204,0)</f>
        <v>-299272.69118952251</v>
      </c>
      <c r="H131" s="409">
        <f t="shared" si="46"/>
        <v>-1692997.4222453861</v>
      </c>
      <c r="I131" s="409">
        <f t="shared" si="46"/>
        <v>-5842614.018256329</v>
      </c>
      <c r="J131" s="409">
        <f t="shared" si="46"/>
        <v>0</v>
      </c>
      <c r="K131" s="409">
        <f t="shared" si="46"/>
        <v>0</v>
      </c>
      <c r="L131" s="409">
        <f t="shared" si="46"/>
        <v>0</v>
      </c>
      <c r="M131" s="409">
        <f t="shared" si="46"/>
        <v>0</v>
      </c>
      <c r="N131" s="409">
        <f t="shared" si="46"/>
        <v>0</v>
      </c>
      <c r="O131" s="409">
        <f t="shared" si="46"/>
        <v>0</v>
      </c>
      <c r="P131" s="409">
        <f t="shared" si="46"/>
        <v>0</v>
      </c>
      <c r="Q131" s="409">
        <f t="shared" si="46"/>
        <v>0</v>
      </c>
      <c r="R131" s="409">
        <f t="shared" si="46"/>
        <v>0</v>
      </c>
      <c r="S131" s="409">
        <f t="shared" si="46"/>
        <v>0</v>
      </c>
      <c r="T131" s="409">
        <f t="shared" si="46"/>
        <v>0</v>
      </c>
      <c r="U131" s="409">
        <f t="shared" si="46"/>
        <v>0</v>
      </c>
      <c r="V131" s="409">
        <f t="shared" si="46"/>
        <v>0</v>
      </c>
      <c r="W131" s="409">
        <f t="shared" si="46"/>
        <v>0</v>
      </c>
      <c r="X131" s="409">
        <f t="shared" si="46"/>
        <v>0</v>
      </c>
      <c r="Y131" s="409">
        <f t="shared" si="46"/>
        <v>0</v>
      </c>
      <c r="Z131" s="409">
        <f t="shared" si="46"/>
        <v>0</v>
      </c>
      <c r="AA131" s="409">
        <f t="shared" si="46"/>
        <v>0</v>
      </c>
      <c r="AB131" s="409">
        <f t="shared" si="46"/>
        <v>0</v>
      </c>
      <c r="AC131" s="409">
        <f t="shared" si="46"/>
        <v>0</v>
      </c>
      <c r="AD131" s="409">
        <f t="shared" si="46"/>
        <v>0</v>
      </c>
      <c r="AE131" s="409">
        <f t="shared" si="46"/>
        <v>0</v>
      </c>
      <c r="AF131" s="409">
        <f t="shared" si="46"/>
        <v>0</v>
      </c>
      <c r="AG131" s="409">
        <f t="shared" si="46"/>
        <v>0</v>
      </c>
      <c r="AH131" s="409">
        <f t="shared" si="46"/>
        <v>0</v>
      </c>
      <c r="AI131" s="409">
        <f t="shared" si="46"/>
        <v>0</v>
      </c>
      <c r="AJ131" s="409">
        <f t="shared" si="46"/>
        <v>0</v>
      </c>
      <c r="AK131" s="409">
        <f t="shared" si="46"/>
        <v>0</v>
      </c>
      <c r="AL131" s="409">
        <f t="shared" si="46"/>
        <v>0</v>
      </c>
      <c r="AM131" s="409">
        <f t="shared" si="46"/>
        <v>0</v>
      </c>
      <c r="AO131" s="379"/>
      <c r="AP131" s="379"/>
      <c r="AQ131" s="379"/>
      <c r="AR131" s="379"/>
      <c r="AS131" s="379"/>
      <c r="AT131" s="379"/>
      <c r="AU131" s="379"/>
      <c r="AV131" s="379"/>
      <c r="AW131" s="379"/>
      <c r="AX131" s="379"/>
      <c r="AY131" s="379"/>
      <c r="AZ131" s="379"/>
      <c r="BA131" s="379"/>
      <c r="BB131" s="379"/>
      <c r="BC131" s="379"/>
      <c r="BD131" s="379"/>
      <c r="BE131" s="379"/>
      <c r="BF131" s="379"/>
      <c r="BG131" s="379"/>
      <c r="BH131" s="379"/>
      <c r="BI131" s="379"/>
      <c r="BJ131" s="379"/>
      <c r="BK131" s="379"/>
      <c r="BL131" s="379"/>
      <c r="BM131" s="379"/>
      <c r="BN131" s="379"/>
      <c r="BO131" s="379"/>
      <c r="BP131" s="379"/>
      <c r="BQ131" s="379"/>
      <c r="BR131" s="379"/>
      <c r="BS131" s="379"/>
      <c r="BT131" s="379"/>
      <c r="BU131" s="379"/>
      <c r="BV131" s="379"/>
      <c r="BW131" s="379"/>
      <c r="BX131" s="379"/>
      <c r="BY131" s="379"/>
      <c r="BZ131" s="379"/>
      <c r="CA131" s="379"/>
      <c r="CB131" s="379"/>
    </row>
    <row r="132" spans="1:80" s="368" customFormat="1" x14ac:dyDescent="0.3">
      <c r="A132" s="365"/>
      <c r="B132" s="365"/>
      <c r="C132" s="376" t="s">
        <v>273</v>
      </c>
      <c r="D132" s="366" t="s">
        <v>214</v>
      </c>
      <c r="E132" s="164">
        <f t="shared" si="45"/>
        <v>-162274526.41962275</v>
      </c>
      <c r="F132" s="381">
        <f>-SUM(F129:F131)*F94</f>
        <v>0</v>
      </c>
      <c r="G132" s="381">
        <f>-SUM(G129:G131)*G94</f>
        <v>0</v>
      </c>
      <c r="H132" s="381">
        <f t="shared" ref="H132:AM132" si="47">-SUM(H129:H131)*H94</f>
        <v>0</v>
      </c>
      <c r="I132" s="381">
        <f t="shared" si="47"/>
        <v>-162274526.41962275</v>
      </c>
      <c r="J132" s="381">
        <f t="shared" si="47"/>
        <v>0</v>
      </c>
      <c r="K132" s="381">
        <f t="shared" si="47"/>
        <v>0</v>
      </c>
      <c r="L132" s="381">
        <f t="shared" si="47"/>
        <v>0</v>
      </c>
      <c r="M132" s="381">
        <f t="shared" si="47"/>
        <v>0</v>
      </c>
      <c r="N132" s="381">
        <f t="shared" si="47"/>
        <v>0</v>
      </c>
      <c r="O132" s="381">
        <f t="shared" si="47"/>
        <v>0</v>
      </c>
      <c r="P132" s="381">
        <f t="shared" si="47"/>
        <v>0</v>
      </c>
      <c r="Q132" s="381">
        <f t="shared" si="47"/>
        <v>0</v>
      </c>
      <c r="R132" s="381">
        <f t="shared" si="47"/>
        <v>0</v>
      </c>
      <c r="S132" s="381">
        <f t="shared" si="47"/>
        <v>0</v>
      </c>
      <c r="T132" s="381">
        <f t="shared" si="47"/>
        <v>0</v>
      </c>
      <c r="U132" s="381">
        <f t="shared" si="47"/>
        <v>0</v>
      </c>
      <c r="V132" s="381">
        <f t="shared" si="47"/>
        <v>0</v>
      </c>
      <c r="W132" s="381">
        <f t="shared" si="47"/>
        <v>0</v>
      </c>
      <c r="X132" s="381">
        <f t="shared" si="47"/>
        <v>0</v>
      </c>
      <c r="Y132" s="381">
        <f t="shared" si="47"/>
        <v>0</v>
      </c>
      <c r="Z132" s="381">
        <f t="shared" si="47"/>
        <v>0</v>
      </c>
      <c r="AA132" s="381">
        <f t="shared" si="47"/>
        <v>0</v>
      </c>
      <c r="AB132" s="381">
        <f t="shared" si="47"/>
        <v>0</v>
      </c>
      <c r="AC132" s="381">
        <f t="shared" si="47"/>
        <v>0</v>
      </c>
      <c r="AD132" s="381">
        <f t="shared" si="47"/>
        <v>0</v>
      </c>
      <c r="AE132" s="381">
        <f t="shared" si="47"/>
        <v>0</v>
      </c>
      <c r="AF132" s="381">
        <f t="shared" si="47"/>
        <v>0</v>
      </c>
      <c r="AG132" s="381">
        <f t="shared" si="47"/>
        <v>0</v>
      </c>
      <c r="AH132" s="381">
        <f t="shared" si="47"/>
        <v>0</v>
      </c>
      <c r="AI132" s="381">
        <f t="shared" si="47"/>
        <v>0</v>
      </c>
      <c r="AJ132" s="381">
        <f t="shared" si="47"/>
        <v>0</v>
      </c>
      <c r="AK132" s="381">
        <f t="shared" si="47"/>
        <v>0</v>
      </c>
      <c r="AL132" s="381">
        <f t="shared" si="47"/>
        <v>0</v>
      </c>
      <c r="AM132" s="381">
        <f t="shared" si="47"/>
        <v>0</v>
      </c>
      <c r="AO132" s="379"/>
      <c r="AP132" s="379"/>
      <c r="AQ132" s="379"/>
      <c r="AR132" s="379"/>
      <c r="AS132" s="379"/>
      <c r="AT132" s="379"/>
      <c r="AU132" s="379"/>
      <c r="AV132" s="379"/>
      <c r="AW132" s="379"/>
      <c r="AX132" s="379"/>
      <c r="AY132" s="379"/>
      <c r="AZ132" s="379"/>
      <c r="BA132" s="379"/>
      <c r="BB132" s="379"/>
      <c r="BC132" s="379"/>
      <c r="BD132" s="379"/>
      <c r="BE132" s="379"/>
      <c r="BF132" s="379"/>
      <c r="BG132" s="379"/>
      <c r="BH132" s="379"/>
      <c r="BI132" s="379"/>
      <c r="BJ132" s="379"/>
      <c r="BK132" s="379"/>
      <c r="BL132" s="379"/>
      <c r="BM132" s="379"/>
      <c r="BN132" s="379"/>
      <c r="BO132" s="379"/>
      <c r="BP132" s="379"/>
      <c r="BQ132" s="379"/>
      <c r="BR132" s="379"/>
      <c r="BS132" s="379"/>
      <c r="BT132" s="379"/>
      <c r="BU132" s="379"/>
      <c r="BV132" s="379"/>
      <c r="BW132" s="379"/>
      <c r="BX132" s="379"/>
      <c r="BY132" s="379"/>
      <c r="BZ132" s="379"/>
      <c r="CA132" s="379"/>
      <c r="CB132" s="379"/>
    </row>
    <row r="133" spans="1:80" s="368" customFormat="1" x14ac:dyDescent="0.3">
      <c r="A133" s="365"/>
      <c r="B133" s="365"/>
      <c r="C133" s="376" t="s">
        <v>274</v>
      </c>
      <c r="D133" s="366" t="s">
        <v>214</v>
      </c>
      <c r="E133" s="382"/>
      <c r="F133" s="383">
        <f>SUM(F129:F132)</f>
        <v>8359932.1804280514</v>
      </c>
      <c r="G133" s="384">
        <f t="shared" ref="G133:I133" si="48">SUM(G129:G132)</f>
        <v>42543369.486848399</v>
      </c>
      <c r="H133" s="384">
        <f t="shared" si="48"/>
        <v>131753796.48945916</v>
      </c>
      <c r="I133" s="384">
        <f t="shared" si="48"/>
        <v>0</v>
      </c>
      <c r="J133" s="384">
        <f t="shared" ref="J133" si="49">SUM(J129:J132)</f>
        <v>0</v>
      </c>
      <c r="K133" s="384">
        <f t="shared" ref="K133" si="50">SUM(K129:K132)</f>
        <v>0</v>
      </c>
      <c r="L133" s="384">
        <f t="shared" ref="L133" si="51">SUM(L129:L132)</f>
        <v>0</v>
      </c>
      <c r="M133" s="384">
        <f t="shared" ref="M133" si="52">SUM(M129:M132)</f>
        <v>0</v>
      </c>
      <c r="N133" s="384">
        <f t="shared" ref="N133" si="53">SUM(N129:N132)</f>
        <v>0</v>
      </c>
      <c r="O133" s="384">
        <f t="shared" ref="O133" si="54">SUM(O129:O132)</f>
        <v>0</v>
      </c>
      <c r="P133" s="384">
        <f t="shared" ref="P133" si="55">SUM(P129:P132)</f>
        <v>0</v>
      </c>
      <c r="Q133" s="384">
        <f t="shared" ref="Q133" si="56">SUM(Q129:Q132)</f>
        <v>0</v>
      </c>
      <c r="R133" s="384">
        <f t="shared" ref="R133" si="57">SUM(R129:R132)</f>
        <v>0</v>
      </c>
      <c r="S133" s="384">
        <f t="shared" ref="S133" si="58">SUM(S129:S132)</f>
        <v>0</v>
      </c>
      <c r="T133" s="384">
        <f t="shared" ref="T133" si="59">SUM(T129:T132)</f>
        <v>0</v>
      </c>
      <c r="U133" s="384">
        <f t="shared" ref="U133" si="60">SUM(U129:U132)</f>
        <v>0</v>
      </c>
      <c r="V133" s="384">
        <f t="shared" ref="V133" si="61">SUM(V129:V132)</f>
        <v>0</v>
      </c>
      <c r="W133" s="384">
        <f t="shared" ref="W133" si="62">SUM(W129:W132)</f>
        <v>0</v>
      </c>
      <c r="X133" s="384">
        <f t="shared" ref="X133" si="63">SUM(X129:X132)</f>
        <v>0</v>
      </c>
      <c r="Y133" s="384">
        <f t="shared" ref="Y133" si="64">SUM(Y129:Y132)</f>
        <v>0</v>
      </c>
      <c r="Z133" s="384">
        <f t="shared" ref="Z133" si="65">SUM(Z129:Z132)</f>
        <v>0</v>
      </c>
      <c r="AA133" s="384">
        <f t="shared" ref="AA133" si="66">SUM(AA129:AA132)</f>
        <v>0</v>
      </c>
      <c r="AB133" s="384">
        <f t="shared" ref="AB133" si="67">SUM(AB129:AB132)</f>
        <v>0</v>
      </c>
      <c r="AC133" s="384">
        <f t="shared" ref="AC133" si="68">SUM(AC129:AC132)</f>
        <v>0</v>
      </c>
      <c r="AD133" s="384">
        <f t="shared" ref="AD133" si="69">SUM(AD129:AD132)</f>
        <v>0</v>
      </c>
      <c r="AE133" s="384">
        <f t="shared" ref="AE133" si="70">SUM(AE129:AE132)</f>
        <v>0</v>
      </c>
      <c r="AF133" s="384">
        <f t="shared" ref="AF133" si="71">SUM(AF129:AF132)</f>
        <v>0</v>
      </c>
      <c r="AG133" s="384">
        <f t="shared" ref="AG133" si="72">SUM(AG129:AG132)</f>
        <v>0</v>
      </c>
      <c r="AH133" s="384">
        <f t="shared" ref="AH133" si="73">SUM(AH129:AH132)</f>
        <v>0</v>
      </c>
      <c r="AI133" s="384">
        <f t="shared" ref="AI133" si="74">SUM(AI129:AI132)</f>
        <v>0</v>
      </c>
      <c r="AJ133" s="384">
        <f t="shared" ref="AJ133" si="75">SUM(AJ129:AJ132)</f>
        <v>0</v>
      </c>
      <c r="AK133" s="384">
        <f t="shared" ref="AK133" si="76">SUM(AK129:AK132)</f>
        <v>0</v>
      </c>
      <c r="AL133" s="384">
        <f t="shared" ref="AL133" si="77">SUM(AL129:AL132)</f>
        <v>0</v>
      </c>
      <c r="AM133" s="384">
        <f t="shared" ref="AM133" si="78">SUM(AM129:AM132)</f>
        <v>0</v>
      </c>
      <c r="AO133" s="379"/>
      <c r="AP133" s="379"/>
      <c r="AQ133" s="379"/>
      <c r="AR133" s="379"/>
      <c r="AS133" s="379"/>
      <c r="AT133" s="379"/>
      <c r="AU133" s="379"/>
      <c r="AV133" s="379"/>
      <c r="AW133" s="379"/>
      <c r="AX133" s="379"/>
      <c r="AY133" s="379"/>
      <c r="AZ133" s="379"/>
      <c r="BA133" s="379"/>
      <c r="BB133" s="379"/>
      <c r="BC133" s="379"/>
      <c r="BD133" s="379"/>
      <c r="BE133" s="379"/>
      <c r="BF133" s="379"/>
      <c r="BG133" s="379"/>
      <c r="BH133" s="379"/>
      <c r="BI133" s="379"/>
      <c r="BJ133" s="379"/>
      <c r="BK133" s="379"/>
      <c r="BL133" s="379"/>
      <c r="BM133" s="379"/>
      <c r="BN133" s="379"/>
      <c r="BO133" s="379"/>
      <c r="BP133" s="379"/>
      <c r="BQ133" s="379"/>
      <c r="BR133" s="379"/>
      <c r="BS133" s="379"/>
      <c r="BT133" s="379"/>
      <c r="BU133" s="379"/>
      <c r="BV133" s="379"/>
      <c r="BW133" s="379"/>
      <c r="BX133" s="379"/>
      <c r="BY133" s="379"/>
      <c r="BZ133" s="379"/>
      <c r="CA133" s="379"/>
      <c r="CB133" s="379"/>
    </row>
    <row r="134" spans="1:80" x14ac:dyDescent="0.3">
      <c r="A134" s="47"/>
      <c r="B134" s="47"/>
      <c r="C134" s="2"/>
      <c r="D134" s="107"/>
      <c r="E134" s="161"/>
      <c r="F134" s="269"/>
      <c r="G134" s="269"/>
      <c r="H134" s="269"/>
      <c r="I134" s="269"/>
      <c r="J134" s="269"/>
      <c r="K134" s="269"/>
      <c r="L134" s="269"/>
      <c r="M134" s="269"/>
      <c r="N134" s="269"/>
      <c r="O134" s="269"/>
      <c r="P134" s="269"/>
      <c r="Q134" s="269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  <c r="AE134" s="269"/>
      <c r="AF134" s="269"/>
      <c r="AG134" s="269"/>
      <c r="AH134" s="269"/>
      <c r="AI134" s="269"/>
      <c r="AJ134" s="269"/>
      <c r="AK134" s="269"/>
      <c r="AL134" s="269"/>
      <c r="AM134" s="269"/>
      <c r="AO134" s="44"/>
      <c r="AP134" s="44"/>
      <c r="AQ134" s="44"/>
      <c r="AR134" s="44"/>
      <c r="AS134" s="4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  <c r="BF134" s="44"/>
      <c r="BG134" s="44"/>
      <c r="BH134" s="44"/>
      <c r="BI134" s="44"/>
      <c r="BJ134" s="44"/>
      <c r="BK134" s="44"/>
      <c r="BL134" s="44"/>
      <c r="BM134" s="44"/>
      <c r="BN134" s="44"/>
      <c r="BO134" s="44"/>
      <c r="BP134" s="44"/>
      <c r="BQ134" s="44"/>
      <c r="BR134" s="44"/>
      <c r="BS134" s="44"/>
      <c r="BT134" s="44"/>
      <c r="BU134" s="44"/>
      <c r="BV134" s="44"/>
      <c r="BW134" s="44"/>
      <c r="BX134" s="44"/>
      <c r="BY134" s="44"/>
      <c r="BZ134" s="44"/>
      <c r="CA134" s="44"/>
      <c r="CB134" s="44"/>
    </row>
    <row r="135" spans="1:80" x14ac:dyDescent="0.3">
      <c r="A135" s="47"/>
      <c r="B135" s="47"/>
      <c r="C135" s="2" t="s">
        <v>321</v>
      </c>
      <c r="D135" s="156" t="s">
        <v>214</v>
      </c>
      <c r="E135" s="187">
        <f>E37</f>
        <v>164.19923395965782</v>
      </c>
      <c r="F135" s="285">
        <f t="shared" ref="F135:AM135" si="79">MAX(0,$E135-F123)*F78</f>
        <v>164.19923395965782</v>
      </c>
      <c r="G135" s="286">
        <f t="shared" si="79"/>
        <v>155.83921817907196</v>
      </c>
      <c r="H135" s="286">
        <f t="shared" si="79"/>
        <v>121.3561633509138</v>
      </c>
      <c r="I135" s="286">
        <f t="shared" si="79"/>
        <v>30.451829882722961</v>
      </c>
      <c r="J135" s="286">
        <f t="shared" si="79"/>
        <v>0</v>
      </c>
      <c r="K135" s="286">
        <f t="shared" si="79"/>
        <v>0</v>
      </c>
      <c r="L135" s="286">
        <f t="shared" si="79"/>
        <v>0</v>
      </c>
      <c r="M135" s="286">
        <f t="shared" si="79"/>
        <v>0</v>
      </c>
      <c r="N135" s="286">
        <f t="shared" si="79"/>
        <v>0</v>
      </c>
      <c r="O135" s="286">
        <f t="shared" si="79"/>
        <v>0</v>
      </c>
      <c r="P135" s="286">
        <f t="shared" si="79"/>
        <v>0</v>
      </c>
      <c r="Q135" s="286">
        <f t="shared" si="79"/>
        <v>0</v>
      </c>
      <c r="R135" s="286">
        <f t="shared" si="79"/>
        <v>0</v>
      </c>
      <c r="S135" s="286">
        <f t="shared" si="79"/>
        <v>0</v>
      </c>
      <c r="T135" s="286">
        <f t="shared" si="79"/>
        <v>0</v>
      </c>
      <c r="U135" s="286">
        <f t="shared" si="79"/>
        <v>0</v>
      </c>
      <c r="V135" s="286">
        <f t="shared" si="79"/>
        <v>0</v>
      </c>
      <c r="W135" s="286">
        <f t="shared" si="79"/>
        <v>0</v>
      </c>
      <c r="X135" s="286">
        <f t="shared" si="79"/>
        <v>0</v>
      </c>
      <c r="Y135" s="286">
        <f t="shared" si="79"/>
        <v>0</v>
      </c>
      <c r="Z135" s="286">
        <f t="shared" si="79"/>
        <v>0</v>
      </c>
      <c r="AA135" s="286">
        <f t="shared" si="79"/>
        <v>0</v>
      </c>
      <c r="AB135" s="286">
        <f t="shared" si="79"/>
        <v>0</v>
      </c>
      <c r="AC135" s="286">
        <f t="shared" si="79"/>
        <v>0</v>
      </c>
      <c r="AD135" s="286">
        <f t="shared" si="79"/>
        <v>0</v>
      </c>
      <c r="AE135" s="286">
        <f t="shared" si="79"/>
        <v>0</v>
      </c>
      <c r="AF135" s="286">
        <f t="shared" si="79"/>
        <v>0</v>
      </c>
      <c r="AG135" s="286">
        <f t="shared" si="79"/>
        <v>0</v>
      </c>
      <c r="AH135" s="286">
        <f t="shared" si="79"/>
        <v>0</v>
      </c>
      <c r="AI135" s="286">
        <f t="shared" si="79"/>
        <v>0</v>
      </c>
      <c r="AJ135" s="286">
        <f t="shared" si="79"/>
        <v>0</v>
      </c>
      <c r="AK135" s="286">
        <f t="shared" si="79"/>
        <v>0</v>
      </c>
      <c r="AL135" s="286">
        <f t="shared" si="79"/>
        <v>0</v>
      </c>
      <c r="AM135" s="286">
        <f t="shared" si="79"/>
        <v>0</v>
      </c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  <c r="BF135" s="44"/>
      <c r="BG135" s="44"/>
      <c r="BH135" s="44"/>
      <c r="BI135" s="44"/>
      <c r="BJ135" s="44"/>
      <c r="BK135" s="44"/>
      <c r="BL135" s="44"/>
      <c r="BM135" s="44"/>
      <c r="BN135" s="44"/>
      <c r="BO135" s="44"/>
      <c r="BP135" s="44"/>
      <c r="BQ135" s="44"/>
      <c r="BR135" s="44"/>
      <c r="BS135" s="44"/>
      <c r="BT135" s="44"/>
      <c r="BU135" s="44"/>
      <c r="BV135" s="44"/>
      <c r="BW135" s="44"/>
      <c r="BX135" s="44"/>
      <c r="BY135" s="44"/>
      <c r="BZ135" s="44"/>
      <c r="CA135" s="44"/>
      <c r="CB135" s="44"/>
    </row>
    <row r="136" spans="1:80" x14ac:dyDescent="0.3">
      <c r="A136" s="47"/>
      <c r="B136" s="47"/>
      <c r="C136" s="376" t="s">
        <v>322</v>
      </c>
      <c r="D136" s="156" t="s">
        <v>214</v>
      </c>
      <c r="E136" s="187">
        <f>E43</f>
        <v>164197591.96731821</v>
      </c>
      <c r="F136" s="398">
        <f t="shared" ref="F136:AM136" si="80">MAX(0,$E136-F129)*F78</f>
        <v>164197591.96731821</v>
      </c>
      <c r="G136" s="398">
        <f t="shared" si="80"/>
        <v>155837659.78689015</v>
      </c>
      <c r="H136" s="398">
        <f t="shared" si="80"/>
        <v>121654222.48046981</v>
      </c>
      <c r="I136" s="398">
        <f t="shared" si="80"/>
        <v>32443795.47785905</v>
      </c>
      <c r="J136" s="398">
        <f t="shared" si="80"/>
        <v>0</v>
      </c>
      <c r="K136" s="398">
        <f t="shared" si="80"/>
        <v>0</v>
      </c>
      <c r="L136" s="398">
        <f t="shared" si="80"/>
        <v>0</v>
      </c>
      <c r="M136" s="398">
        <f t="shared" si="80"/>
        <v>0</v>
      </c>
      <c r="N136" s="398">
        <f t="shared" si="80"/>
        <v>0</v>
      </c>
      <c r="O136" s="398">
        <f t="shared" si="80"/>
        <v>0</v>
      </c>
      <c r="P136" s="398">
        <f t="shared" si="80"/>
        <v>0</v>
      </c>
      <c r="Q136" s="398">
        <f t="shared" si="80"/>
        <v>0</v>
      </c>
      <c r="R136" s="398">
        <f t="shared" si="80"/>
        <v>0</v>
      </c>
      <c r="S136" s="398">
        <f t="shared" si="80"/>
        <v>0</v>
      </c>
      <c r="T136" s="398">
        <f t="shared" si="80"/>
        <v>0</v>
      </c>
      <c r="U136" s="398">
        <f t="shared" si="80"/>
        <v>0</v>
      </c>
      <c r="V136" s="398">
        <f t="shared" si="80"/>
        <v>0</v>
      </c>
      <c r="W136" s="398">
        <f t="shared" si="80"/>
        <v>0</v>
      </c>
      <c r="X136" s="398">
        <f t="shared" si="80"/>
        <v>0</v>
      </c>
      <c r="Y136" s="398">
        <f t="shared" si="80"/>
        <v>0</v>
      </c>
      <c r="Z136" s="398">
        <f t="shared" si="80"/>
        <v>0</v>
      </c>
      <c r="AA136" s="398">
        <f t="shared" si="80"/>
        <v>0</v>
      </c>
      <c r="AB136" s="398">
        <f t="shared" si="80"/>
        <v>0</v>
      </c>
      <c r="AC136" s="398">
        <f t="shared" si="80"/>
        <v>0</v>
      </c>
      <c r="AD136" s="398">
        <f t="shared" si="80"/>
        <v>0</v>
      </c>
      <c r="AE136" s="398">
        <f t="shared" si="80"/>
        <v>0</v>
      </c>
      <c r="AF136" s="398">
        <f t="shared" si="80"/>
        <v>0</v>
      </c>
      <c r="AG136" s="398">
        <f t="shared" si="80"/>
        <v>0</v>
      </c>
      <c r="AH136" s="398">
        <f t="shared" si="80"/>
        <v>0</v>
      </c>
      <c r="AI136" s="398">
        <f t="shared" si="80"/>
        <v>0</v>
      </c>
      <c r="AJ136" s="398">
        <f t="shared" si="80"/>
        <v>0</v>
      </c>
      <c r="AK136" s="398">
        <f t="shared" si="80"/>
        <v>0</v>
      </c>
      <c r="AL136" s="398">
        <f t="shared" si="80"/>
        <v>0</v>
      </c>
      <c r="AM136" s="398">
        <f t="shared" si="80"/>
        <v>0</v>
      </c>
      <c r="AO136" s="44"/>
      <c r="AP136" s="44"/>
      <c r="AQ136" s="44"/>
      <c r="AR136" s="44"/>
      <c r="AS136" s="4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  <c r="BF136" s="44"/>
      <c r="BG136" s="44"/>
      <c r="BH136" s="44"/>
      <c r="BI136" s="44"/>
      <c r="BJ136" s="44"/>
      <c r="BK136" s="44"/>
      <c r="BL136" s="44"/>
      <c r="BM136" s="44"/>
      <c r="BN136" s="44"/>
      <c r="BO136" s="44"/>
      <c r="BP136" s="44"/>
      <c r="BQ136" s="44"/>
      <c r="BR136" s="44"/>
      <c r="BS136" s="44"/>
      <c r="BT136" s="44"/>
      <c r="BU136" s="44"/>
      <c r="BV136" s="44"/>
      <c r="BW136" s="44"/>
      <c r="BX136" s="44"/>
      <c r="BY136" s="44"/>
      <c r="BZ136" s="44"/>
      <c r="CA136" s="44"/>
      <c r="CB136" s="44"/>
    </row>
    <row r="137" spans="1:80" x14ac:dyDescent="0.3">
      <c r="A137" s="47"/>
      <c r="B137" s="47"/>
      <c r="C137" s="2"/>
      <c r="D137" s="107"/>
      <c r="E137" s="161"/>
      <c r="F137" s="287"/>
      <c r="G137" s="287"/>
      <c r="H137" s="287"/>
      <c r="I137" s="287"/>
      <c r="J137" s="287"/>
      <c r="K137" s="287"/>
      <c r="L137" s="287"/>
      <c r="M137" s="287"/>
      <c r="N137" s="287"/>
      <c r="O137" s="287"/>
      <c r="P137" s="287"/>
      <c r="Q137" s="287"/>
      <c r="R137" s="287"/>
      <c r="S137" s="287"/>
      <c r="T137" s="287"/>
      <c r="U137" s="287"/>
      <c r="V137" s="287"/>
      <c r="W137" s="287"/>
      <c r="X137" s="287"/>
      <c r="Y137" s="287"/>
      <c r="Z137" s="287"/>
      <c r="AA137" s="287"/>
      <c r="AB137" s="287"/>
      <c r="AC137" s="287"/>
      <c r="AD137" s="287"/>
      <c r="AE137" s="287"/>
      <c r="AF137" s="287"/>
      <c r="AG137" s="287"/>
      <c r="AH137" s="287"/>
      <c r="AI137" s="287"/>
      <c r="AJ137" s="287"/>
      <c r="AK137" s="287"/>
      <c r="AL137" s="287"/>
      <c r="AM137" s="287"/>
      <c r="AO137" s="44"/>
      <c r="AP137" s="44"/>
      <c r="AQ137" s="44"/>
      <c r="AR137" s="44"/>
      <c r="AS137" s="4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  <c r="BF137" s="44"/>
      <c r="BG137" s="44"/>
      <c r="BH137" s="44"/>
      <c r="BI137" s="44"/>
      <c r="BJ137" s="44"/>
      <c r="BK137" s="44"/>
      <c r="BL137" s="44"/>
      <c r="BM137" s="44"/>
      <c r="BN137" s="44"/>
      <c r="BO137" s="44"/>
      <c r="BP137" s="44"/>
      <c r="BQ137" s="44"/>
      <c r="BR137" s="44"/>
      <c r="BS137" s="44"/>
      <c r="BT137" s="44"/>
      <c r="BU137" s="44"/>
      <c r="BV137" s="44"/>
      <c r="BW137" s="44"/>
      <c r="BX137" s="44"/>
      <c r="BY137" s="44"/>
      <c r="BZ137" s="44"/>
      <c r="CA137" s="44"/>
      <c r="CB137" s="44"/>
    </row>
    <row r="138" spans="1:80" x14ac:dyDescent="0.3">
      <c r="A138" s="47"/>
      <c r="B138" s="47"/>
      <c r="C138" s="2" t="s">
        <v>323</v>
      </c>
      <c r="D138" s="156" t="s">
        <v>214</v>
      </c>
      <c r="E138" s="173">
        <f>E53</f>
        <v>1.6419923395965783</v>
      </c>
      <c r="F138" s="288">
        <f t="shared" ref="F138:AM138" si="81">$E138*IF(F90=1,1,0)</f>
        <v>1.6419923395965783</v>
      </c>
      <c r="G138" s="284">
        <f t="shared" si="81"/>
        <v>0</v>
      </c>
      <c r="H138" s="284">
        <f t="shared" si="81"/>
        <v>0</v>
      </c>
      <c r="I138" s="284">
        <f t="shared" si="81"/>
        <v>0</v>
      </c>
      <c r="J138" s="284">
        <f t="shared" si="81"/>
        <v>0</v>
      </c>
      <c r="K138" s="284">
        <f t="shared" si="81"/>
        <v>0</v>
      </c>
      <c r="L138" s="284">
        <f t="shared" si="81"/>
        <v>0</v>
      </c>
      <c r="M138" s="284">
        <f t="shared" si="81"/>
        <v>0</v>
      </c>
      <c r="N138" s="284">
        <f t="shared" si="81"/>
        <v>0</v>
      </c>
      <c r="O138" s="284">
        <f t="shared" si="81"/>
        <v>0</v>
      </c>
      <c r="P138" s="284">
        <f t="shared" si="81"/>
        <v>0</v>
      </c>
      <c r="Q138" s="284">
        <f t="shared" si="81"/>
        <v>0</v>
      </c>
      <c r="R138" s="284">
        <f t="shared" si="81"/>
        <v>0</v>
      </c>
      <c r="S138" s="284">
        <f t="shared" si="81"/>
        <v>0</v>
      </c>
      <c r="T138" s="284">
        <f t="shared" si="81"/>
        <v>0</v>
      </c>
      <c r="U138" s="284">
        <f t="shared" si="81"/>
        <v>0</v>
      </c>
      <c r="V138" s="284">
        <f t="shared" si="81"/>
        <v>0</v>
      </c>
      <c r="W138" s="284">
        <f t="shared" si="81"/>
        <v>0</v>
      </c>
      <c r="X138" s="284">
        <f t="shared" si="81"/>
        <v>0</v>
      </c>
      <c r="Y138" s="284">
        <f t="shared" si="81"/>
        <v>0</v>
      </c>
      <c r="Z138" s="284">
        <f t="shared" si="81"/>
        <v>0</v>
      </c>
      <c r="AA138" s="284">
        <f t="shared" si="81"/>
        <v>0</v>
      </c>
      <c r="AB138" s="284">
        <f t="shared" si="81"/>
        <v>0</v>
      </c>
      <c r="AC138" s="284">
        <f t="shared" si="81"/>
        <v>0</v>
      </c>
      <c r="AD138" s="284">
        <f t="shared" si="81"/>
        <v>0</v>
      </c>
      <c r="AE138" s="284">
        <f t="shared" si="81"/>
        <v>0</v>
      </c>
      <c r="AF138" s="284">
        <f t="shared" si="81"/>
        <v>0</v>
      </c>
      <c r="AG138" s="284">
        <f t="shared" si="81"/>
        <v>0</v>
      </c>
      <c r="AH138" s="284">
        <f t="shared" si="81"/>
        <v>0</v>
      </c>
      <c r="AI138" s="284">
        <f t="shared" si="81"/>
        <v>0</v>
      </c>
      <c r="AJ138" s="284">
        <f t="shared" si="81"/>
        <v>0</v>
      </c>
      <c r="AK138" s="284">
        <f t="shared" si="81"/>
        <v>0</v>
      </c>
      <c r="AL138" s="284">
        <f t="shared" si="81"/>
        <v>0</v>
      </c>
      <c r="AM138" s="284">
        <f t="shared" si="81"/>
        <v>0</v>
      </c>
      <c r="AO138" s="44"/>
      <c r="AP138" s="44"/>
      <c r="AQ138" s="44"/>
      <c r="AR138" s="44"/>
      <c r="AS138" s="4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  <c r="BF138" s="44"/>
      <c r="BG138" s="44"/>
      <c r="BH138" s="44"/>
      <c r="BI138" s="44"/>
      <c r="BJ138" s="44"/>
      <c r="BK138" s="44"/>
      <c r="BL138" s="44"/>
      <c r="BM138" s="44"/>
      <c r="BN138" s="44"/>
      <c r="BO138" s="44"/>
      <c r="BP138" s="44"/>
      <c r="BQ138" s="44"/>
      <c r="BR138" s="44"/>
      <c r="BS138" s="44"/>
      <c r="BT138" s="44"/>
      <c r="BU138" s="44"/>
      <c r="BV138" s="44"/>
      <c r="BW138" s="44"/>
      <c r="BX138" s="44"/>
      <c r="BY138" s="44"/>
      <c r="BZ138" s="44"/>
      <c r="CA138" s="44"/>
      <c r="CB138" s="44"/>
    </row>
    <row r="139" spans="1:80" x14ac:dyDescent="0.3">
      <c r="A139" s="47"/>
      <c r="B139" s="47"/>
      <c r="C139" s="376" t="s">
        <v>322</v>
      </c>
      <c r="D139" s="156" t="s">
        <v>214</v>
      </c>
      <c r="E139" s="399">
        <f>E54</f>
        <v>1641975.9196731821</v>
      </c>
      <c r="F139" s="269">
        <f t="shared" ref="F139:AM139" si="82">$E139*IF(F90=1,1,0)</f>
        <v>1641975.9196731821</v>
      </c>
      <c r="G139" s="269">
        <f t="shared" si="82"/>
        <v>0</v>
      </c>
      <c r="H139" s="269">
        <f t="shared" si="82"/>
        <v>0</v>
      </c>
      <c r="I139" s="269">
        <f t="shared" si="82"/>
        <v>0</v>
      </c>
      <c r="J139" s="269">
        <f t="shared" si="82"/>
        <v>0</v>
      </c>
      <c r="K139" s="269">
        <f t="shared" si="82"/>
        <v>0</v>
      </c>
      <c r="L139" s="269">
        <f t="shared" si="82"/>
        <v>0</v>
      </c>
      <c r="M139" s="269">
        <f t="shared" si="82"/>
        <v>0</v>
      </c>
      <c r="N139" s="269">
        <f t="shared" si="82"/>
        <v>0</v>
      </c>
      <c r="O139" s="269">
        <f t="shared" si="82"/>
        <v>0</v>
      </c>
      <c r="P139" s="269">
        <f t="shared" si="82"/>
        <v>0</v>
      </c>
      <c r="Q139" s="269">
        <f t="shared" si="82"/>
        <v>0</v>
      </c>
      <c r="R139" s="269">
        <f t="shared" si="82"/>
        <v>0</v>
      </c>
      <c r="S139" s="269">
        <f t="shared" si="82"/>
        <v>0</v>
      </c>
      <c r="T139" s="269">
        <f t="shared" si="82"/>
        <v>0</v>
      </c>
      <c r="U139" s="269">
        <f t="shared" si="82"/>
        <v>0</v>
      </c>
      <c r="V139" s="269">
        <f t="shared" si="82"/>
        <v>0</v>
      </c>
      <c r="W139" s="269">
        <f t="shared" si="82"/>
        <v>0</v>
      </c>
      <c r="X139" s="269">
        <f t="shared" si="82"/>
        <v>0</v>
      </c>
      <c r="Y139" s="269">
        <f t="shared" si="82"/>
        <v>0</v>
      </c>
      <c r="Z139" s="269">
        <f t="shared" si="82"/>
        <v>0</v>
      </c>
      <c r="AA139" s="269">
        <f t="shared" si="82"/>
        <v>0</v>
      </c>
      <c r="AB139" s="269">
        <f t="shared" si="82"/>
        <v>0</v>
      </c>
      <c r="AC139" s="269">
        <f t="shared" si="82"/>
        <v>0</v>
      </c>
      <c r="AD139" s="269">
        <f t="shared" si="82"/>
        <v>0</v>
      </c>
      <c r="AE139" s="269">
        <f t="shared" si="82"/>
        <v>0</v>
      </c>
      <c r="AF139" s="269">
        <f t="shared" si="82"/>
        <v>0</v>
      </c>
      <c r="AG139" s="269">
        <f t="shared" si="82"/>
        <v>0</v>
      </c>
      <c r="AH139" s="269">
        <f t="shared" si="82"/>
        <v>0</v>
      </c>
      <c r="AI139" s="269">
        <f t="shared" si="82"/>
        <v>0</v>
      </c>
      <c r="AJ139" s="269">
        <f t="shared" si="82"/>
        <v>0</v>
      </c>
      <c r="AK139" s="269">
        <f t="shared" si="82"/>
        <v>0</v>
      </c>
      <c r="AL139" s="269">
        <f t="shared" si="82"/>
        <v>0</v>
      </c>
      <c r="AM139" s="269">
        <f t="shared" si="82"/>
        <v>0</v>
      </c>
      <c r="AO139" s="44"/>
      <c r="AP139" s="44"/>
      <c r="AQ139" s="44"/>
      <c r="AR139" s="44"/>
      <c r="AS139" s="4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  <c r="BF139" s="44"/>
      <c r="BG139" s="44"/>
      <c r="BH139" s="44"/>
      <c r="BI139" s="44"/>
      <c r="BJ139" s="44"/>
      <c r="BK139" s="44"/>
      <c r="BL139" s="44"/>
      <c r="BM139" s="44"/>
      <c r="BN139" s="44"/>
      <c r="BO139" s="44"/>
      <c r="BP139" s="44"/>
      <c r="BQ139" s="44"/>
      <c r="BR139" s="44"/>
      <c r="BS139" s="44"/>
      <c r="BT139" s="44"/>
      <c r="BU139" s="44"/>
      <c r="BV139" s="44"/>
      <c r="BW139" s="44"/>
      <c r="BX139" s="44"/>
      <c r="BY139" s="44"/>
      <c r="BZ139" s="44"/>
      <c r="CA139" s="44"/>
      <c r="CB139" s="44"/>
    </row>
    <row r="140" spans="1:80" x14ac:dyDescent="0.3">
      <c r="A140" s="47"/>
      <c r="B140" s="47"/>
      <c r="C140" s="2"/>
      <c r="D140" s="107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O140" s="44"/>
      <c r="AP140" s="44"/>
      <c r="AQ140" s="44"/>
      <c r="AR140" s="44"/>
      <c r="AS140" s="4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  <c r="BF140" s="44"/>
      <c r="BG140" s="44"/>
      <c r="BH140" s="44"/>
      <c r="BI140" s="44"/>
      <c r="BJ140" s="44"/>
      <c r="BK140" s="44"/>
      <c r="BL140" s="44"/>
      <c r="BM140" s="44"/>
      <c r="BN140" s="44"/>
      <c r="BO140" s="44"/>
      <c r="BP140" s="44"/>
      <c r="BQ140" s="44"/>
      <c r="BR140" s="44"/>
      <c r="BS140" s="44"/>
      <c r="BT140" s="44"/>
      <c r="BU140" s="44"/>
      <c r="BV140" s="44"/>
      <c r="BW140" s="44"/>
      <c r="BX140" s="44"/>
      <c r="BY140" s="44"/>
      <c r="BZ140" s="44"/>
      <c r="CA140" s="44"/>
      <c r="CB140" s="44"/>
    </row>
    <row r="141" spans="1:80" x14ac:dyDescent="0.3">
      <c r="A141" s="47"/>
      <c r="B141" s="47"/>
      <c r="C141" s="2" t="s">
        <v>168</v>
      </c>
      <c r="D141" s="107" t="s">
        <v>144</v>
      </c>
      <c r="E141" s="2"/>
      <c r="F141" s="114">
        <f t="shared" ref="F141:AM141" si="83">LOOKUP(F87,$E$64:$AL$64,$E$65:$AL$65)*F78</f>
        <v>3.3300000000000003E-2</v>
      </c>
      <c r="G141" s="114">
        <f t="shared" si="83"/>
        <v>3.3300000000000003E-2</v>
      </c>
      <c r="H141" s="114">
        <f t="shared" si="83"/>
        <v>3.3300000000000003E-2</v>
      </c>
      <c r="I141" s="114">
        <f t="shared" si="83"/>
        <v>3.3300000000000003E-2</v>
      </c>
      <c r="J141" s="114">
        <f t="shared" si="83"/>
        <v>0</v>
      </c>
      <c r="K141" s="114">
        <f t="shared" si="83"/>
        <v>0</v>
      </c>
      <c r="L141" s="114">
        <f t="shared" si="83"/>
        <v>0</v>
      </c>
      <c r="M141" s="114">
        <f t="shared" si="83"/>
        <v>0</v>
      </c>
      <c r="N141" s="114">
        <f t="shared" si="83"/>
        <v>0</v>
      </c>
      <c r="O141" s="114">
        <f t="shared" si="83"/>
        <v>0</v>
      </c>
      <c r="P141" s="114">
        <f t="shared" si="83"/>
        <v>0</v>
      </c>
      <c r="Q141" s="114">
        <f t="shared" si="83"/>
        <v>0</v>
      </c>
      <c r="R141" s="114">
        <f t="shared" si="83"/>
        <v>0</v>
      </c>
      <c r="S141" s="114">
        <f t="shared" si="83"/>
        <v>0</v>
      </c>
      <c r="T141" s="114">
        <f t="shared" si="83"/>
        <v>0</v>
      </c>
      <c r="U141" s="114">
        <f t="shared" si="83"/>
        <v>0</v>
      </c>
      <c r="V141" s="114">
        <f t="shared" si="83"/>
        <v>0</v>
      </c>
      <c r="W141" s="114">
        <f t="shared" si="83"/>
        <v>0</v>
      </c>
      <c r="X141" s="114">
        <f t="shared" si="83"/>
        <v>0</v>
      </c>
      <c r="Y141" s="114">
        <f t="shared" si="83"/>
        <v>0</v>
      </c>
      <c r="Z141" s="114">
        <f t="shared" si="83"/>
        <v>0</v>
      </c>
      <c r="AA141" s="114">
        <f t="shared" si="83"/>
        <v>0</v>
      </c>
      <c r="AB141" s="114">
        <f t="shared" si="83"/>
        <v>0</v>
      </c>
      <c r="AC141" s="114">
        <f t="shared" si="83"/>
        <v>0</v>
      </c>
      <c r="AD141" s="114">
        <f t="shared" si="83"/>
        <v>0</v>
      </c>
      <c r="AE141" s="114">
        <f t="shared" si="83"/>
        <v>0</v>
      </c>
      <c r="AF141" s="114">
        <f t="shared" si="83"/>
        <v>0</v>
      </c>
      <c r="AG141" s="114">
        <f t="shared" si="83"/>
        <v>0</v>
      </c>
      <c r="AH141" s="114">
        <f t="shared" si="83"/>
        <v>0</v>
      </c>
      <c r="AI141" s="114">
        <f t="shared" si="83"/>
        <v>0</v>
      </c>
      <c r="AJ141" s="114">
        <f t="shared" si="83"/>
        <v>0</v>
      </c>
      <c r="AK141" s="114">
        <f t="shared" si="83"/>
        <v>0</v>
      </c>
      <c r="AL141" s="114">
        <f t="shared" si="83"/>
        <v>0</v>
      </c>
      <c r="AM141" s="114">
        <f t="shared" si="83"/>
        <v>0</v>
      </c>
      <c r="AO141" s="44"/>
      <c r="AP141" s="44"/>
      <c r="AQ141" s="44"/>
      <c r="AR141" s="44"/>
      <c r="AS141" s="4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  <c r="BF141" s="44"/>
      <c r="BG141" s="44"/>
      <c r="BH141" s="44"/>
      <c r="BI141" s="44"/>
      <c r="BJ141" s="44"/>
      <c r="BK141" s="44"/>
      <c r="BL141" s="44"/>
      <c r="BM141" s="44"/>
      <c r="BN141" s="44"/>
      <c r="BO141" s="44"/>
      <c r="BP141" s="44"/>
      <c r="BQ141" s="44"/>
      <c r="BR141" s="44"/>
      <c r="BS141" s="44"/>
      <c r="BT141" s="44"/>
      <c r="BU141" s="44"/>
      <c r="BV141" s="44"/>
      <c r="BW141" s="44"/>
      <c r="BX141" s="44"/>
      <c r="BY141" s="44"/>
      <c r="BZ141" s="44"/>
      <c r="CA141" s="44"/>
      <c r="CB141" s="44"/>
    </row>
    <row r="142" spans="1:80" x14ac:dyDescent="0.3">
      <c r="A142" s="47"/>
      <c r="B142" s="47"/>
      <c r="C142" s="2" t="s">
        <v>281</v>
      </c>
      <c r="D142" s="107" t="s">
        <v>144</v>
      </c>
      <c r="E142" s="299"/>
      <c r="F142" s="114">
        <f t="shared" ref="F142:AM142" si="84">$E$49*F78</f>
        <v>3.6700000000000003E-2</v>
      </c>
      <c r="G142" s="114">
        <f t="shared" si="84"/>
        <v>3.6700000000000003E-2</v>
      </c>
      <c r="H142" s="114">
        <f t="shared" si="84"/>
        <v>3.6700000000000003E-2</v>
      </c>
      <c r="I142" s="114">
        <f t="shared" si="84"/>
        <v>3.6700000000000003E-2</v>
      </c>
      <c r="J142" s="114">
        <f t="shared" si="84"/>
        <v>0</v>
      </c>
      <c r="K142" s="114">
        <f t="shared" si="84"/>
        <v>0</v>
      </c>
      <c r="L142" s="114">
        <f t="shared" si="84"/>
        <v>0</v>
      </c>
      <c r="M142" s="114">
        <f t="shared" si="84"/>
        <v>0</v>
      </c>
      <c r="N142" s="114">
        <f t="shared" si="84"/>
        <v>0</v>
      </c>
      <c r="O142" s="114">
        <f t="shared" si="84"/>
        <v>0</v>
      </c>
      <c r="P142" s="114">
        <f t="shared" si="84"/>
        <v>0</v>
      </c>
      <c r="Q142" s="114">
        <f t="shared" si="84"/>
        <v>0</v>
      </c>
      <c r="R142" s="114">
        <f t="shared" si="84"/>
        <v>0</v>
      </c>
      <c r="S142" s="114">
        <f t="shared" si="84"/>
        <v>0</v>
      </c>
      <c r="T142" s="114">
        <f t="shared" si="84"/>
        <v>0</v>
      </c>
      <c r="U142" s="114">
        <f t="shared" si="84"/>
        <v>0</v>
      </c>
      <c r="V142" s="114">
        <f t="shared" si="84"/>
        <v>0</v>
      </c>
      <c r="W142" s="114">
        <f t="shared" si="84"/>
        <v>0</v>
      </c>
      <c r="X142" s="114">
        <f t="shared" si="84"/>
        <v>0</v>
      </c>
      <c r="Y142" s="114">
        <f t="shared" si="84"/>
        <v>0</v>
      </c>
      <c r="Z142" s="114">
        <f t="shared" si="84"/>
        <v>0</v>
      </c>
      <c r="AA142" s="114">
        <f t="shared" si="84"/>
        <v>0</v>
      </c>
      <c r="AB142" s="114">
        <f t="shared" si="84"/>
        <v>0</v>
      </c>
      <c r="AC142" s="114">
        <f t="shared" si="84"/>
        <v>0</v>
      </c>
      <c r="AD142" s="114">
        <f t="shared" si="84"/>
        <v>0</v>
      </c>
      <c r="AE142" s="114">
        <f t="shared" si="84"/>
        <v>0</v>
      </c>
      <c r="AF142" s="114">
        <f t="shared" si="84"/>
        <v>0</v>
      </c>
      <c r="AG142" s="114">
        <f t="shared" si="84"/>
        <v>0</v>
      </c>
      <c r="AH142" s="114">
        <f t="shared" si="84"/>
        <v>0</v>
      </c>
      <c r="AI142" s="114">
        <f t="shared" si="84"/>
        <v>0</v>
      </c>
      <c r="AJ142" s="114">
        <f t="shared" si="84"/>
        <v>0</v>
      </c>
      <c r="AK142" s="114">
        <f t="shared" si="84"/>
        <v>0</v>
      </c>
      <c r="AL142" s="114">
        <f t="shared" si="84"/>
        <v>0</v>
      </c>
      <c r="AM142" s="114">
        <f t="shared" si="84"/>
        <v>0</v>
      </c>
      <c r="AO142" s="44"/>
      <c r="AP142" s="44"/>
      <c r="AQ142" s="44"/>
      <c r="AR142" s="44"/>
      <c r="AS142" s="4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  <c r="BF142" s="44"/>
      <c r="BG142" s="44"/>
      <c r="BH142" s="44"/>
      <c r="BI142" s="44"/>
      <c r="BJ142" s="44"/>
      <c r="BK142" s="44"/>
      <c r="BL142" s="44"/>
      <c r="BM142" s="44"/>
      <c r="BN142" s="44"/>
      <c r="BO142" s="44"/>
      <c r="BP142" s="44"/>
      <c r="BQ142" s="44"/>
      <c r="BR142" s="44"/>
      <c r="BS142" s="44"/>
      <c r="BT142" s="44"/>
      <c r="BU142" s="44"/>
      <c r="BV142" s="44"/>
      <c r="BW142" s="44"/>
      <c r="BX142" s="44"/>
      <c r="BY142" s="44"/>
      <c r="BZ142" s="44"/>
      <c r="CA142" s="44"/>
      <c r="CB142" s="44"/>
    </row>
    <row r="143" spans="1:80" x14ac:dyDescent="0.3">
      <c r="A143" s="47"/>
      <c r="B143" s="47"/>
      <c r="C143" s="2" t="s">
        <v>282</v>
      </c>
      <c r="D143" s="107" t="s">
        <v>144</v>
      </c>
      <c r="E143" s="2"/>
      <c r="F143" s="115">
        <f>SUM(F141:F142)</f>
        <v>7.0000000000000007E-2</v>
      </c>
      <c r="G143" s="115">
        <f t="shared" ref="G143:K143" si="85">SUM(G141:G142)</f>
        <v>7.0000000000000007E-2</v>
      </c>
      <c r="H143" s="115">
        <f t="shared" si="85"/>
        <v>7.0000000000000007E-2</v>
      </c>
      <c r="I143" s="115">
        <f t="shared" si="85"/>
        <v>7.0000000000000007E-2</v>
      </c>
      <c r="J143" s="115">
        <f t="shared" si="85"/>
        <v>0</v>
      </c>
      <c r="K143" s="115">
        <f t="shared" si="85"/>
        <v>0</v>
      </c>
      <c r="L143" s="115">
        <f t="shared" ref="L143" si="86">SUM(L141:L142)</f>
        <v>0</v>
      </c>
      <c r="M143" s="115">
        <f t="shared" ref="M143" si="87">SUM(M141:M142)</f>
        <v>0</v>
      </c>
      <c r="N143" s="115">
        <f t="shared" ref="N143" si="88">SUM(N141:N142)</f>
        <v>0</v>
      </c>
      <c r="O143" s="115">
        <f t="shared" ref="O143:P143" si="89">SUM(O141:O142)</f>
        <v>0</v>
      </c>
      <c r="P143" s="115">
        <f t="shared" si="89"/>
        <v>0</v>
      </c>
      <c r="Q143" s="115">
        <f t="shared" ref="Q143" si="90">SUM(Q141:Q142)</f>
        <v>0</v>
      </c>
      <c r="R143" s="115">
        <f t="shared" ref="R143" si="91">SUM(R141:R142)</f>
        <v>0</v>
      </c>
      <c r="S143" s="115">
        <f t="shared" ref="S143" si="92">SUM(S141:S142)</f>
        <v>0</v>
      </c>
      <c r="T143" s="115">
        <f t="shared" ref="T143:U143" si="93">SUM(T141:T142)</f>
        <v>0</v>
      </c>
      <c r="U143" s="115">
        <f t="shared" si="93"/>
        <v>0</v>
      </c>
      <c r="V143" s="115">
        <f t="shared" ref="V143" si="94">SUM(V141:V142)</f>
        <v>0</v>
      </c>
      <c r="W143" s="115">
        <f t="shared" ref="W143" si="95">SUM(W141:W142)</f>
        <v>0</v>
      </c>
      <c r="X143" s="115">
        <f t="shared" ref="X143" si="96">SUM(X141:X142)</f>
        <v>0</v>
      </c>
      <c r="Y143" s="115">
        <f t="shared" ref="Y143:Z143" si="97">SUM(Y141:Y142)</f>
        <v>0</v>
      </c>
      <c r="Z143" s="115">
        <f t="shared" si="97"/>
        <v>0</v>
      </c>
      <c r="AA143" s="115">
        <f t="shared" ref="AA143" si="98">SUM(AA141:AA142)</f>
        <v>0</v>
      </c>
      <c r="AB143" s="115">
        <f t="shared" ref="AB143" si="99">SUM(AB141:AB142)</f>
        <v>0</v>
      </c>
      <c r="AC143" s="115">
        <f t="shared" ref="AC143" si="100">SUM(AC141:AC142)</f>
        <v>0</v>
      </c>
      <c r="AD143" s="115">
        <f t="shared" ref="AD143:AE143" si="101">SUM(AD141:AD142)</f>
        <v>0</v>
      </c>
      <c r="AE143" s="115">
        <f t="shared" si="101"/>
        <v>0</v>
      </c>
      <c r="AF143" s="115">
        <f t="shared" ref="AF143" si="102">SUM(AF141:AF142)</f>
        <v>0</v>
      </c>
      <c r="AG143" s="115">
        <f t="shared" ref="AG143" si="103">SUM(AG141:AG142)</f>
        <v>0</v>
      </c>
      <c r="AH143" s="115">
        <f t="shared" ref="AH143" si="104">SUM(AH141:AH142)</f>
        <v>0</v>
      </c>
      <c r="AI143" s="115">
        <f t="shared" ref="AI143:AJ143" si="105">SUM(AI141:AI142)</f>
        <v>0</v>
      </c>
      <c r="AJ143" s="115">
        <f t="shared" si="105"/>
        <v>0</v>
      </c>
      <c r="AK143" s="115">
        <f t="shared" ref="AK143" si="106">SUM(AK141:AK142)</f>
        <v>0</v>
      </c>
      <c r="AL143" s="115">
        <f t="shared" ref="AL143" si="107">SUM(AL141:AL142)</f>
        <v>0</v>
      </c>
      <c r="AM143" s="115">
        <f t="shared" ref="AM143" si="108">SUM(AM141:AM142)</f>
        <v>0</v>
      </c>
      <c r="AO143" s="44"/>
      <c r="AP143" s="44"/>
      <c r="AQ143" s="44"/>
      <c r="AR143" s="44"/>
      <c r="AS143" s="4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  <c r="BF143" s="44"/>
      <c r="BG143" s="44"/>
      <c r="BH143" s="44"/>
      <c r="BI143" s="44"/>
      <c r="BJ143" s="44"/>
      <c r="BK143" s="44"/>
      <c r="BL143" s="44"/>
      <c r="BM143" s="44"/>
      <c r="BN143" s="44"/>
      <c r="BO143" s="44"/>
      <c r="BP143" s="44"/>
      <c r="BQ143" s="44"/>
      <c r="BR143" s="44"/>
      <c r="BS143" s="44"/>
      <c r="BT143" s="44"/>
      <c r="BU143" s="44"/>
      <c r="BV143" s="44"/>
      <c r="BW143" s="44"/>
      <c r="BX143" s="44"/>
      <c r="BY143" s="44"/>
      <c r="BZ143" s="44"/>
      <c r="CA143" s="44"/>
      <c r="CB143" s="44"/>
    </row>
    <row r="144" spans="1:80" x14ac:dyDescent="0.3">
      <c r="A144" s="47"/>
      <c r="B144" s="47"/>
      <c r="C144" s="2" t="s">
        <v>282</v>
      </c>
      <c r="D144" s="107" t="s">
        <v>169</v>
      </c>
      <c r="E144" s="2"/>
      <c r="F144" s="114">
        <f t="shared" ref="F144:AM144" si="109">(1+F143)^(F86/365)-1</f>
        <v>4.0465655151550761E-2</v>
      </c>
      <c r="G144" s="114">
        <f t="shared" si="109"/>
        <v>7.0198360175480534E-2</v>
      </c>
      <c r="H144" s="114">
        <f t="shared" si="109"/>
        <v>7.0000000000000062E-2</v>
      </c>
      <c r="I144" s="114">
        <f t="shared" si="109"/>
        <v>7.0000000000000062E-2</v>
      </c>
      <c r="J144" s="114">
        <f t="shared" si="109"/>
        <v>0</v>
      </c>
      <c r="K144" s="114">
        <f t="shared" si="109"/>
        <v>0</v>
      </c>
      <c r="L144" s="114">
        <f t="shared" si="109"/>
        <v>0</v>
      </c>
      <c r="M144" s="114">
        <f t="shared" si="109"/>
        <v>0</v>
      </c>
      <c r="N144" s="114">
        <f t="shared" si="109"/>
        <v>0</v>
      </c>
      <c r="O144" s="114">
        <f t="shared" si="109"/>
        <v>0</v>
      </c>
      <c r="P144" s="114">
        <f t="shared" si="109"/>
        <v>0</v>
      </c>
      <c r="Q144" s="114">
        <f t="shared" si="109"/>
        <v>0</v>
      </c>
      <c r="R144" s="114">
        <f t="shared" si="109"/>
        <v>0</v>
      </c>
      <c r="S144" s="114">
        <f t="shared" si="109"/>
        <v>0</v>
      </c>
      <c r="T144" s="114">
        <f t="shared" si="109"/>
        <v>0</v>
      </c>
      <c r="U144" s="114">
        <f t="shared" si="109"/>
        <v>0</v>
      </c>
      <c r="V144" s="114">
        <f t="shared" si="109"/>
        <v>0</v>
      </c>
      <c r="W144" s="114">
        <f t="shared" si="109"/>
        <v>0</v>
      </c>
      <c r="X144" s="114">
        <f t="shared" si="109"/>
        <v>0</v>
      </c>
      <c r="Y144" s="114">
        <f t="shared" si="109"/>
        <v>0</v>
      </c>
      <c r="Z144" s="114">
        <f t="shared" si="109"/>
        <v>0</v>
      </c>
      <c r="AA144" s="114">
        <f t="shared" si="109"/>
        <v>0</v>
      </c>
      <c r="AB144" s="114">
        <f t="shared" si="109"/>
        <v>0</v>
      </c>
      <c r="AC144" s="114">
        <f t="shared" si="109"/>
        <v>0</v>
      </c>
      <c r="AD144" s="114">
        <f t="shared" si="109"/>
        <v>0</v>
      </c>
      <c r="AE144" s="114">
        <f t="shared" si="109"/>
        <v>0</v>
      </c>
      <c r="AF144" s="114">
        <f t="shared" si="109"/>
        <v>0</v>
      </c>
      <c r="AG144" s="114">
        <f t="shared" si="109"/>
        <v>0</v>
      </c>
      <c r="AH144" s="114">
        <f t="shared" si="109"/>
        <v>0</v>
      </c>
      <c r="AI144" s="114">
        <f t="shared" si="109"/>
        <v>0</v>
      </c>
      <c r="AJ144" s="114">
        <f t="shared" si="109"/>
        <v>0</v>
      </c>
      <c r="AK144" s="114">
        <f t="shared" si="109"/>
        <v>0</v>
      </c>
      <c r="AL144" s="114">
        <f t="shared" si="109"/>
        <v>0</v>
      </c>
      <c r="AM144" s="114">
        <f t="shared" si="109"/>
        <v>0</v>
      </c>
      <c r="AO144" s="44"/>
      <c r="AP144" s="44"/>
      <c r="AQ144" s="44"/>
      <c r="AR144" s="44"/>
      <c r="AS144" s="4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  <c r="BF144" s="44"/>
      <c r="BG144" s="44"/>
      <c r="BH144" s="44"/>
      <c r="BI144" s="44"/>
      <c r="BJ144" s="44"/>
      <c r="BK144" s="44"/>
      <c r="BL144" s="44"/>
      <c r="BM144" s="44"/>
      <c r="BN144" s="44"/>
      <c r="BO144" s="44"/>
      <c r="BP144" s="44"/>
      <c r="BQ144" s="44"/>
      <c r="BR144" s="44"/>
      <c r="BS144" s="44"/>
      <c r="BT144" s="44"/>
      <c r="BU144" s="44"/>
      <c r="BV144" s="44"/>
      <c r="BW144" s="44"/>
      <c r="BX144" s="44"/>
      <c r="BY144" s="44"/>
      <c r="BZ144" s="44"/>
      <c r="CA144" s="44"/>
      <c r="CB144" s="44"/>
    </row>
    <row r="145" spans="1:80" x14ac:dyDescent="0.3">
      <c r="A145" s="47"/>
      <c r="B145" s="47"/>
      <c r="C145" s="2"/>
      <c r="D145" s="107"/>
      <c r="E145" s="2"/>
      <c r="F145" s="287"/>
      <c r="G145" s="287"/>
      <c r="H145" s="287"/>
      <c r="I145" s="287"/>
      <c r="J145" s="287"/>
      <c r="K145" s="287"/>
      <c r="L145" s="287"/>
      <c r="M145" s="287"/>
      <c r="N145" s="287"/>
      <c r="O145" s="287"/>
      <c r="P145" s="287"/>
      <c r="Q145" s="287"/>
      <c r="R145" s="287"/>
      <c r="S145" s="287"/>
      <c r="T145" s="287"/>
      <c r="U145" s="287"/>
      <c r="V145" s="287"/>
      <c r="W145" s="287"/>
      <c r="X145" s="287"/>
      <c r="Y145" s="287"/>
      <c r="Z145" s="287"/>
      <c r="AA145" s="287"/>
      <c r="AB145" s="287"/>
      <c r="AC145" s="287"/>
      <c r="AD145" s="287"/>
      <c r="AE145" s="287"/>
      <c r="AF145" s="287"/>
      <c r="AG145" s="287"/>
      <c r="AH145" s="287"/>
      <c r="AI145" s="287"/>
      <c r="AJ145" s="287"/>
      <c r="AK145" s="287"/>
      <c r="AL145" s="287"/>
      <c r="AM145" s="287"/>
      <c r="AO145" s="44"/>
      <c r="AP145" s="44"/>
      <c r="AQ145" s="44"/>
      <c r="AR145" s="44"/>
      <c r="AS145" s="4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  <c r="BF145" s="44"/>
      <c r="BG145" s="44"/>
      <c r="BH145" s="44"/>
      <c r="BI145" s="44"/>
      <c r="BJ145" s="44"/>
      <c r="BK145" s="44"/>
      <c r="BL145" s="44"/>
      <c r="BM145" s="44"/>
      <c r="BN145" s="44"/>
      <c r="BO145" s="44"/>
      <c r="BP145" s="44"/>
      <c r="BQ145" s="44"/>
      <c r="BR145" s="44"/>
      <c r="BS145" s="44"/>
      <c r="BT145" s="44"/>
      <c r="BU145" s="44"/>
      <c r="BV145" s="44"/>
      <c r="BW145" s="44"/>
      <c r="BX145" s="44"/>
      <c r="BY145" s="44"/>
      <c r="BZ145" s="44"/>
      <c r="CA145" s="44"/>
      <c r="CB145" s="44"/>
    </row>
    <row r="146" spans="1:80" s="368" customFormat="1" x14ac:dyDescent="0.3">
      <c r="A146" s="365"/>
      <c r="B146" s="365"/>
      <c r="C146" s="376" t="s">
        <v>168</v>
      </c>
      <c r="D146" s="366" t="s">
        <v>144</v>
      </c>
      <c r="E146" s="376"/>
      <c r="F146" s="386">
        <f t="shared" ref="F146:AM146" si="110">LOOKUP(F87,$E$64:$AL$64,$E$66:$AL$66)*F78</f>
        <v>3.3300000000000003E-2</v>
      </c>
      <c r="G146" s="386">
        <f t="shared" si="110"/>
        <v>3.3300000000000003E-2</v>
      </c>
      <c r="H146" s="386">
        <f t="shared" si="110"/>
        <v>3.3300000000000003E-2</v>
      </c>
      <c r="I146" s="386">
        <f t="shared" si="110"/>
        <v>3.3300000000000003E-2</v>
      </c>
      <c r="J146" s="386">
        <f t="shared" si="110"/>
        <v>0</v>
      </c>
      <c r="K146" s="386">
        <f t="shared" si="110"/>
        <v>0</v>
      </c>
      <c r="L146" s="386">
        <f t="shared" si="110"/>
        <v>0</v>
      </c>
      <c r="M146" s="386">
        <f t="shared" si="110"/>
        <v>0</v>
      </c>
      <c r="N146" s="386">
        <f t="shared" si="110"/>
        <v>0</v>
      </c>
      <c r="O146" s="386">
        <f t="shared" si="110"/>
        <v>0</v>
      </c>
      <c r="P146" s="386">
        <f t="shared" si="110"/>
        <v>0</v>
      </c>
      <c r="Q146" s="386">
        <f t="shared" si="110"/>
        <v>0</v>
      </c>
      <c r="R146" s="386">
        <f t="shared" si="110"/>
        <v>0</v>
      </c>
      <c r="S146" s="386">
        <f t="shared" si="110"/>
        <v>0</v>
      </c>
      <c r="T146" s="386">
        <f t="shared" si="110"/>
        <v>0</v>
      </c>
      <c r="U146" s="386">
        <f t="shared" si="110"/>
        <v>0</v>
      </c>
      <c r="V146" s="386">
        <f t="shared" si="110"/>
        <v>0</v>
      </c>
      <c r="W146" s="386">
        <f t="shared" si="110"/>
        <v>0</v>
      </c>
      <c r="X146" s="386">
        <f t="shared" si="110"/>
        <v>0</v>
      </c>
      <c r="Y146" s="386">
        <f t="shared" si="110"/>
        <v>0</v>
      </c>
      <c r="Z146" s="386">
        <f t="shared" si="110"/>
        <v>0</v>
      </c>
      <c r="AA146" s="386">
        <f t="shared" si="110"/>
        <v>0</v>
      </c>
      <c r="AB146" s="386">
        <f t="shared" si="110"/>
        <v>0</v>
      </c>
      <c r="AC146" s="386">
        <f t="shared" si="110"/>
        <v>0</v>
      </c>
      <c r="AD146" s="386">
        <f t="shared" si="110"/>
        <v>0</v>
      </c>
      <c r="AE146" s="386">
        <f t="shared" si="110"/>
        <v>0</v>
      </c>
      <c r="AF146" s="386">
        <f t="shared" si="110"/>
        <v>0</v>
      </c>
      <c r="AG146" s="386">
        <f t="shared" si="110"/>
        <v>0</v>
      </c>
      <c r="AH146" s="386">
        <f t="shared" si="110"/>
        <v>0</v>
      </c>
      <c r="AI146" s="386">
        <f t="shared" si="110"/>
        <v>0</v>
      </c>
      <c r="AJ146" s="386">
        <f t="shared" si="110"/>
        <v>0</v>
      </c>
      <c r="AK146" s="386">
        <f t="shared" si="110"/>
        <v>0</v>
      </c>
      <c r="AL146" s="386">
        <f t="shared" si="110"/>
        <v>0</v>
      </c>
      <c r="AM146" s="386">
        <f t="shared" si="110"/>
        <v>0</v>
      </c>
      <c r="AO146" s="379"/>
      <c r="AP146" s="379"/>
      <c r="AQ146" s="379"/>
      <c r="AR146" s="379"/>
      <c r="AS146" s="379"/>
      <c r="AT146" s="379"/>
      <c r="AU146" s="379"/>
      <c r="AV146" s="379"/>
      <c r="AW146" s="379"/>
      <c r="AX146" s="379"/>
      <c r="AY146" s="379"/>
      <c r="AZ146" s="379"/>
      <c r="BA146" s="379"/>
      <c r="BB146" s="379"/>
      <c r="BC146" s="379"/>
      <c r="BD146" s="379"/>
      <c r="BE146" s="379"/>
      <c r="BF146" s="379"/>
      <c r="BG146" s="379"/>
      <c r="BH146" s="379"/>
      <c r="BI146" s="379"/>
      <c r="BJ146" s="379"/>
      <c r="BK146" s="379"/>
      <c r="BL146" s="379"/>
      <c r="BM146" s="379"/>
      <c r="BN146" s="379"/>
      <c r="BO146" s="379"/>
      <c r="BP146" s="379"/>
      <c r="BQ146" s="379"/>
      <c r="BR146" s="379"/>
      <c r="BS146" s="379"/>
      <c r="BT146" s="379"/>
      <c r="BU146" s="379"/>
      <c r="BV146" s="379"/>
      <c r="BW146" s="379"/>
      <c r="BX146" s="379"/>
      <c r="BY146" s="379"/>
      <c r="BZ146" s="379"/>
      <c r="CA146" s="379"/>
      <c r="CB146" s="379"/>
    </row>
    <row r="147" spans="1:80" s="368" customFormat="1" x14ac:dyDescent="0.3">
      <c r="A147" s="365"/>
      <c r="B147" s="365"/>
      <c r="C147" s="376" t="s">
        <v>283</v>
      </c>
      <c r="D147" s="366" t="s">
        <v>144</v>
      </c>
      <c r="E147" s="389"/>
      <c r="F147" s="386">
        <f>$E$50*F78</f>
        <v>3.6700000000000003E-2</v>
      </c>
      <c r="G147" s="386">
        <f>$E$50*G78</f>
        <v>3.6700000000000003E-2</v>
      </c>
      <c r="H147" s="386">
        <f>$E$50*H78</f>
        <v>3.6700000000000003E-2</v>
      </c>
      <c r="I147" s="386">
        <f>$E$50*I78</f>
        <v>3.6700000000000003E-2</v>
      </c>
      <c r="J147" s="386">
        <f t="shared" ref="J147:AM147" si="111">$E$49*J78</f>
        <v>0</v>
      </c>
      <c r="K147" s="386">
        <f t="shared" si="111"/>
        <v>0</v>
      </c>
      <c r="L147" s="386">
        <f t="shared" si="111"/>
        <v>0</v>
      </c>
      <c r="M147" s="386">
        <f t="shared" si="111"/>
        <v>0</v>
      </c>
      <c r="N147" s="386">
        <f t="shared" si="111"/>
        <v>0</v>
      </c>
      <c r="O147" s="386">
        <f t="shared" si="111"/>
        <v>0</v>
      </c>
      <c r="P147" s="386">
        <f t="shared" si="111"/>
        <v>0</v>
      </c>
      <c r="Q147" s="386">
        <f t="shared" si="111"/>
        <v>0</v>
      </c>
      <c r="R147" s="386">
        <f t="shared" si="111"/>
        <v>0</v>
      </c>
      <c r="S147" s="386">
        <f t="shared" si="111"/>
        <v>0</v>
      </c>
      <c r="T147" s="386">
        <f t="shared" si="111"/>
        <v>0</v>
      </c>
      <c r="U147" s="386">
        <f t="shared" si="111"/>
        <v>0</v>
      </c>
      <c r="V147" s="386">
        <f t="shared" si="111"/>
        <v>0</v>
      </c>
      <c r="W147" s="386">
        <f t="shared" si="111"/>
        <v>0</v>
      </c>
      <c r="X147" s="386">
        <f t="shared" si="111"/>
        <v>0</v>
      </c>
      <c r="Y147" s="386">
        <f t="shared" si="111"/>
        <v>0</v>
      </c>
      <c r="Z147" s="386">
        <f t="shared" si="111"/>
        <v>0</v>
      </c>
      <c r="AA147" s="386">
        <f t="shared" si="111"/>
        <v>0</v>
      </c>
      <c r="AB147" s="386">
        <f t="shared" si="111"/>
        <v>0</v>
      </c>
      <c r="AC147" s="386">
        <f t="shared" si="111"/>
        <v>0</v>
      </c>
      <c r="AD147" s="386">
        <f t="shared" si="111"/>
        <v>0</v>
      </c>
      <c r="AE147" s="386">
        <f t="shared" si="111"/>
        <v>0</v>
      </c>
      <c r="AF147" s="386">
        <f t="shared" si="111"/>
        <v>0</v>
      </c>
      <c r="AG147" s="386">
        <f t="shared" si="111"/>
        <v>0</v>
      </c>
      <c r="AH147" s="386">
        <f t="shared" si="111"/>
        <v>0</v>
      </c>
      <c r="AI147" s="386">
        <f t="shared" si="111"/>
        <v>0</v>
      </c>
      <c r="AJ147" s="386">
        <f t="shared" si="111"/>
        <v>0</v>
      </c>
      <c r="AK147" s="386">
        <f t="shared" si="111"/>
        <v>0</v>
      </c>
      <c r="AL147" s="386">
        <f t="shared" si="111"/>
        <v>0</v>
      </c>
      <c r="AM147" s="386">
        <f t="shared" si="111"/>
        <v>0</v>
      </c>
      <c r="AO147" s="379"/>
      <c r="AP147" s="379"/>
      <c r="AQ147" s="379"/>
      <c r="AR147" s="379"/>
      <c r="AS147" s="379"/>
      <c r="AT147" s="379"/>
      <c r="AU147" s="379"/>
      <c r="AV147" s="379"/>
      <c r="AW147" s="379"/>
      <c r="AX147" s="379"/>
      <c r="AY147" s="379"/>
      <c r="AZ147" s="379"/>
      <c r="BA147" s="379"/>
      <c r="BB147" s="379"/>
      <c r="BC147" s="379"/>
      <c r="BD147" s="379"/>
      <c r="BE147" s="379"/>
      <c r="BF147" s="379"/>
      <c r="BG147" s="379"/>
      <c r="BH147" s="379"/>
      <c r="BI147" s="379"/>
      <c r="BJ147" s="379"/>
      <c r="BK147" s="379"/>
      <c r="BL147" s="379"/>
      <c r="BM147" s="379"/>
      <c r="BN147" s="379"/>
      <c r="BO147" s="379"/>
      <c r="BP147" s="379"/>
      <c r="BQ147" s="379"/>
      <c r="BR147" s="379"/>
      <c r="BS147" s="379"/>
      <c r="BT147" s="379"/>
      <c r="BU147" s="379"/>
      <c r="BV147" s="379"/>
      <c r="BW147" s="379"/>
      <c r="BX147" s="379"/>
      <c r="BY147" s="379"/>
      <c r="BZ147" s="379"/>
      <c r="CA147" s="379"/>
      <c r="CB147" s="379"/>
    </row>
    <row r="148" spans="1:80" s="368" customFormat="1" x14ac:dyDescent="0.3">
      <c r="A148" s="365"/>
      <c r="B148" s="365"/>
      <c r="C148" s="376" t="s">
        <v>284</v>
      </c>
      <c r="D148" s="366" t="s">
        <v>144</v>
      </c>
      <c r="E148" s="376"/>
      <c r="F148" s="390">
        <f>SUM(F146:F147)</f>
        <v>7.0000000000000007E-2</v>
      </c>
      <c r="G148" s="390">
        <f t="shared" ref="G148:AM148" si="112">SUM(G146:G147)</f>
        <v>7.0000000000000007E-2</v>
      </c>
      <c r="H148" s="390">
        <f t="shared" si="112"/>
        <v>7.0000000000000007E-2</v>
      </c>
      <c r="I148" s="390">
        <f t="shared" si="112"/>
        <v>7.0000000000000007E-2</v>
      </c>
      <c r="J148" s="390">
        <f t="shared" si="112"/>
        <v>0</v>
      </c>
      <c r="K148" s="390">
        <f t="shared" si="112"/>
        <v>0</v>
      </c>
      <c r="L148" s="390">
        <f t="shared" si="112"/>
        <v>0</v>
      </c>
      <c r="M148" s="390">
        <f t="shared" si="112"/>
        <v>0</v>
      </c>
      <c r="N148" s="390">
        <f t="shared" si="112"/>
        <v>0</v>
      </c>
      <c r="O148" s="390">
        <f t="shared" si="112"/>
        <v>0</v>
      </c>
      <c r="P148" s="390">
        <f t="shared" si="112"/>
        <v>0</v>
      </c>
      <c r="Q148" s="390">
        <f t="shared" si="112"/>
        <v>0</v>
      </c>
      <c r="R148" s="390">
        <f t="shared" si="112"/>
        <v>0</v>
      </c>
      <c r="S148" s="390">
        <f t="shared" si="112"/>
        <v>0</v>
      </c>
      <c r="T148" s="390">
        <f t="shared" si="112"/>
        <v>0</v>
      </c>
      <c r="U148" s="390">
        <f t="shared" si="112"/>
        <v>0</v>
      </c>
      <c r="V148" s="390">
        <f t="shared" si="112"/>
        <v>0</v>
      </c>
      <c r="W148" s="390">
        <f t="shared" si="112"/>
        <v>0</v>
      </c>
      <c r="X148" s="390">
        <f t="shared" si="112"/>
        <v>0</v>
      </c>
      <c r="Y148" s="390">
        <f t="shared" si="112"/>
        <v>0</v>
      </c>
      <c r="Z148" s="390">
        <f t="shared" si="112"/>
        <v>0</v>
      </c>
      <c r="AA148" s="390">
        <f t="shared" si="112"/>
        <v>0</v>
      </c>
      <c r="AB148" s="390">
        <f t="shared" si="112"/>
        <v>0</v>
      </c>
      <c r="AC148" s="390">
        <f t="shared" si="112"/>
        <v>0</v>
      </c>
      <c r="AD148" s="390">
        <f t="shared" si="112"/>
        <v>0</v>
      </c>
      <c r="AE148" s="390">
        <f t="shared" si="112"/>
        <v>0</v>
      </c>
      <c r="AF148" s="390">
        <f t="shared" si="112"/>
        <v>0</v>
      </c>
      <c r="AG148" s="390">
        <f t="shared" si="112"/>
        <v>0</v>
      </c>
      <c r="AH148" s="390">
        <f t="shared" si="112"/>
        <v>0</v>
      </c>
      <c r="AI148" s="390">
        <f t="shared" si="112"/>
        <v>0</v>
      </c>
      <c r="AJ148" s="390">
        <f t="shared" si="112"/>
        <v>0</v>
      </c>
      <c r="AK148" s="390">
        <f t="shared" si="112"/>
        <v>0</v>
      </c>
      <c r="AL148" s="390">
        <f t="shared" si="112"/>
        <v>0</v>
      </c>
      <c r="AM148" s="390">
        <f t="shared" si="112"/>
        <v>0</v>
      </c>
      <c r="AO148" s="379"/>
      <c r="AP148" s="379"/>
      <c r="AQ148" s="379"/>
      <c r="AR148" s="379"/>
      <c r="AS148" s="379"/>
      <c r="AT148" s="379"/>
      <c r="AU148" s="379"/>
      <c r="AV148" s="379"/>
      <c r="AW148" s="379"/>
      <c r="AX148" s="379"/>
      <c r="AY148" s="379"/>
      <c r="AZ148" s="379"/>
      <c r="BA148" s="379"/>
      <c r="BB148" s="379"/>
      <c r="BC148" s="379"/>
      <c r="BD148" s="379"/>
      <c r="BE148" s="379"/>
      <c r="BF148" s="379"/>
      <c r="BG148" s="379"/>
      <c r="BH148" s="379"/>
      <c r="BI148" s="379"/>
      <c r="BJ148" s="379"/>
      <c r="BK148" s="379"/>
      <c r="BL148" s="379"/>
      <c r="BM148" s="379"/>
      <c r="BN148" s="379"/>
      <c r="BO148" s="379"/>
      <c r="BP148" s="379"/>
      <c r="BQ148" s="379"/>
      <c r="BR148" s="379"/>
      <c r="BS148" s="379"/>
      <c r="BT148" s="379"/>
      <c r="BU148" s="379"/>
      <c r="BV148" s="379"/>
      <c r="BW148" s="379"/>
      <c r="BX148" s="379"/>
      <c r="BY148" s="379"/>
      <c r="BZ148" s="379"/>
      <c r="CA148" s="379"/>
      <c r="CB148" s="379"/>
    </row>
    <row r="149" spans="1:80" s="368" customFormat="1" x14ac:dyDescent="0.3">
      <c r="A149" s="365"/>
      <c r="B149" s="365"/>
      <c r="C149" s="376" t="s">
        <v>284</v>
      </c>
      <c r="D149" s="366" t="s">
        <v>169</v>
      </c>
      <c r="E149" s="376"/>
      <c r="F149" s="386">
        <f t="shared" ref="F149:AM149" si="113">(1+F148)^(F86/365)-1</f>
        <v>4.0465655151550761E-2</v>
      </c>
      <c r="G149" s="386">
        <f t="shared" si="113"/>
        <v>7.0198360175480534E-2</v>
      </c>
      <c r="H149" s="386">
        <f t="shared" si="113"/>
        <v>7.0000000000000062E-2</v>
      </c>
      <c r="I149" s="386">
        <f t="shared" si="113"/>
        <v>7.0000000000000062E-2</v>
      </c>
      <c r="J149" s="386">
        <f t="shared" si="113"/>
        <v>0</v>
      </c>
      <c r="K149" s="386">
        <f t="shared" si="113"/>
        <v>0</v>
      </c>
      <c r="L149" s="386">
        <f t="shared" si="113"/>
        <v>0</v>
      </c>
      <c r="M149" s="386">
        <f t="shared" si="113"/>
        <v>0</v>
      </c>
      <c r="N149" s="386">
        <f t="shared" si="113"/>
        <v>0</v>
      </c>
      <c r="O149" s="386">
        <f t="shared" si="113"/>
        <v>0</v>
      </c>
      <c r="P149" s="386">
        <f t="shared" si="113"/>
        <v>0</v>
      </c>
      <c r="Q149" s="386">
        <f t="shared" si="113"/>
        <v>0</v>
      </c>
      <c r="R149" s="386">
        <f t="shared" si="113"/>
        <v>0</v>
      </c>
      <c r="S149" s="386">
        <f t="shared" si="113"/>
        <v>0</v>
      </c>
      <c r="T149" s="386">
        <f t="shared" si="113"/>
        <v>0</v>
      </c>
      <c r="U149" s="386">
        <f t="shared" si="113"/>
        <v>0</v>
      </c>
      <c r="V149" s="386">
        <f t="shared" si="113"/>
        <v>0</v>
      </c>
      <c r="W149" s="386">
        <f t="shared" si="113"/>
        <v>0</v>
      </c>
      <c r="X149" s="386">
        <f t="shared" si="113"/>
        <v>0</v>
      </c>
      <c r="Y149" s="386">
        <f t="shared" si="113"/>
        <v>0</v>
      </c>
      <c r="Z149" s="386">
        <f t="shared" si="113"/>
        <v>0</v>
      </c>
      <c r="AA149" s="386">
        <f t="shared" si="113"/>
        <v>0</v>
      </c>
      <c r="AB149" s="386">
        <f t="shared" si="113"/>
        <v>0</v>
      </c>
      <c r="AC149" s="386">
        <f t="shared" si="113"/>
        <v>0</v>
      </c>
      <c r="AD149" s="386">
        <f t="shared" si="113"/>
        <v>0</v>
      </c>
      <c r="AE149" s="386">
        <f t="shared" si="113"/>
        <v>0</v>
      </c>
      <c r="AF149" s="386">
        <f t="shared" si="113"/>
        <v>0</v>
      </c>
      <c r="AG149" s="386">
        <f t="shared" si="113"/>
        <v>0</v>
      </c>
      <c r="AH149" s="386">
        <f t="shared" si="113"/>
        <v>0</v>
      </c>
      <c r="AI149" s="386">
        <f t="shared" si="113"/>
        <v>0</v>
      </c>
      <c r="AJ149" s="386">
        <f t="shared" si="113"/>
        <v>0</v>
      </c>
      <c r="AK149" s="386">
        <f t="shared" si="113"/>
        <v>0</v>
      </c>
      <c r="AL149" s="386">
        <f t="shared" si="113"/>
        <v>0</v>
      </c>
      <c r="AM149" s="386">
        <f t="shared" si="113"/>
        <v>0</v>
      </c>
      <c r="AO149" s="379"/>
      <c r="AP149" s="379"/>
      <c r="AQ149" s="379"/>
      <c r="AR149" s="379"/>
      <c r="AS149" s="379"/>
      <c r="AT149" s="379"/>
      <c r="AU149" s="379"/>
      <c r="AV149" s="379"/>
      <c r="AW149" s="379"/>
      <c r="AX149" s="379"/>
      <c r="AY149" s="379"/>
      <c r="AZ149" s="379"/>
      <c r="BA149" s="379"/>
      <c r="BB149" s="379"/>
      <c r="BC149" s="379"/>
      <c r="BD149" s="379"/>
      <c r="BE149" s="379"/>
      <c r="BF149" s="379"/>
      <c r="BG149" s="379"/>
      <c r="BH149" s="379"/>
      <c r="BI149" s="379"/>
      <c r="BJ149" s="379"/>
      <c r="BK149" s="379"/>
      <c r="BL149" s="379"/>
      <c r="BM149" s="379"/>
      <c r="BN149" s="379"/>
      <c r="BO149" s="379"/>
      <c r="BP149" s="379"/>
      <c r="BQ149" s="379"/>
      <c r="BR149" s="379"/>
      <c r="BS149" s="379"/>
      <c r="BT149" s="379"/>
      <c r="BU149" s="379"/>
      <c r="BV149" s="379"/>
      <c r="BW149" s="379"/>
      <c r="BX149" s="379"/>
      <c r="BY149" s="379"/>
      <c r="BZ149" s="379"/>
      <c r="CA149" s="379"/>
      <c r="CB149" s="379"/>
    </row>
    <row r="150" spans="1:80" x14ac:dyDescent="0.3">
      <c r="A150" s="47"/>
      <c r="B150" s="47"/>
      <c r="C150" s="2"/>
      <c r="D150" s="107"/>
      <c r="E150" s="2"/>
      <c r="F150" s="287"/>
      <c r="G150" s="287"/>
      <c r="H150" s="287"/>
      <c r="I150" s="287"/>
      <c r="J150" s="287"/>
      <c r="K150" s="287"/>
      <c r="L150" s="287"/>
      <c r="M150" s="287"/>
      <c r="N150" s="287"/>
      <c r="O150" s="287"/>
      <c r="P150" s="287"/>
      <c r="Q150" s="287"/>
      <c r="R150" s="287"/>
      <c r="S150" s="287"/>
      <c r="T150" s="287"/>
      <c r="U150" s="287"/>
      <c r="V150" s="287"/>
      <c r="W150" s="287"/>
      <c r="X150" s="287"/>
      <c r="Y150" s="287"/>
      <c r="Z150" s="287"/>
      <c r="AA150" s="287"/>
      <c r="AB150" s="287"/>
      <c r="AC150" s="287"/>
      <c r="AD150" s="287"/>
      <c r="AE150" s="287"/>
      <c r="AF150" s="287"/>
      <c r="AG150" s="287"/>
      <c r="AH150" s="287"/>
      <c r="AI150" s="287"/>
      <c r="AJ150" s="287"/>
      <c r="AK150" s="287"/>
      <c r="AL150" s="287"/>
      <c r="AM150" s="287"/>
      <c r="AO150" s="44"/>
      <c r="AP150" s="44"/>
      <c r="AQ150" s="44"/>
      <c r="AR150" s="44"/>
      <c r="AS150" s="4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  <c r="BF150" s="44"/>
      <c r="BG150" s="44"/>
      <c r="BH150" s="44"/>
      <c r="BI150" s="44"/>
      <c r="BJ150" s="44"/>
      <c r="BK150" s="44"/>
      <c r="BL150" s="44"/>
      <c r="BM150" s="44"/>
      <c r="BN150" s="44"/>
      <c r="BO150" s="44"/>
      <c r="BP150" s="44"/>
      <c r="BQ150" s="44"/>
      <c r="BR150" s="44"/>
      <c r="BS150" s="44"/>
      <c r="BT150" s="44"/>
      <c r="BU150" s="44"/>
      <c r="BV150" s="44"/>
      <c r="BW150" s="44"/>
      <c r="BX150" s="44"/>
      <c r="BY150" s="44"/>
      <c r="BZ150" s="44"/>
      <c r="CA150" s="44"/>
      <c r="CB150" s="44"/>
    </row>
    <row r="151" spans="1:80" s="182" customFormat="1" x14ac:dyDescent="0.3">
      <c r="A151" s="179"/>
      <c r="B151" s="179"/>
      <c r="C151" s="178" t="s">
        <v>259</v>
      </c>
      <c r="D151" s="180" t="s">
        <v>214</v>
      </c>
      <c r="E151" s="227">
        <f>SUM(F151:AM151)</f>
        <v>12.9481926268358</v>
      </c>
      <c r="F151" s="289">
        <f t="shared" ref="F151:AM151" si="114">F144*F123</f>
        <v>0</v>
      </c>
      <c r="G151" s="290">
        <f t="shared" si="114"/>
        <v>0.5868593988382671</v>
      </c>
      <c r="H151" s="291">
        <f t="shared" si="114"/>
        <v>2.9990149426120838</v>
      </c>
      <c r="I151" s="291">
        <f t="shared" si="114"/>
        <v>9.3623182853854487</v>
      </c>
      <c r="J151" s="291">
        <f t="shared" si="114"/>
        <v>0</v>
      </c>
      <c r="K151" s="291">
        <f t="shared" si="114"/>
        <v>0</v>
      </c>
      <c r="L151" s="291">
        <f t="shared" si="114"/>
        <v>0</v>
      </c>
      <c r="M151" s="291">
        <f t="shared" si="114"/>
        <v>0</v>
      </c>
      <c r="N151" s="291">
        <f t="shared" si="114"/>
        <v>0</v>
      </c>
      <c r="O151" s="291">
        <f t="shared" si="114"/>
        <v>0</v>
      </c>
      <c r="P151" s="291">
        <f t="shared" si="114"/>
        <v>0</v>
      </c>
      <c r="Q151" s="291">
        <f t="shared" si="114"/>
        <v>0</v>
      </c>
      <c r="R151" s="291">
        <f t="shared" si="114"/>
        <v>0</v>
      </c>
      <c r="S151" s="291">
        <f t="shared" si="114"/>
        <v>0</v>
      </c>
      <c r="T151" s="291">
        <f t="shared" si="114"/>
        <v>0</v>
      </c>
      <c r="U151" s="291">
        <f t="shared" si="114"/>
        <v>0</v>
      </c>
      <c r="V151" s="291">
        <f t="shared" si="114"/>
        <v>0</v>
      </c>
      <c r="W151" s="291">
        <f t="shared" si="114"/>
        <v>0</v>
      </c>
      <c r="X151" s="291">
        <f t="shared" si="114"/>
        <v>0</v>
      </c>
      <c r="Y151" s="291">
        <f t="shared" si="114"/>
        <v>0</v>
      </c>
      <c r="Z151" s="291">
        <f t="shared" si="114"/>
        <v>0</v>
      </c>
      <c r="AA151" s="291">
        <f t="shared" si="114"/>
        <v>0</v>
      </c>
      <c r="AB151" s="291">
        <f t="shared" si="114"/>
        <v>0</v>
      </c>
      <c r="AC151" s="291">
        <f t="shared" si="114"/>
        <v>0</v>
      </c>
      <c r="AD151" s="291">
        <f t="shared" si="114"/>
        <v>0</v>
      </c>
      <c r="AE151" s="291">
        <f t="shared" si="114"/>
        <v>0</v>
      </c>
      <c r="AF151" s="291">
        <f t="shared" si="114"/>
        <v>0</v>
      </c>
      <c r="AG151" s="291">
        <f t="shared" si="114"/>
        <v>0</v>
      </c>
      <c r="AH151" s="291">
        <f t="shared" si="114"/>
        <v>0</v>
      </c>
      <c r="AI151" s="291">
        <f t="shared" si="114"/>
        <v>0</v>
      </c>
      <c r="AJ151" s="291">
        <f t="shared" si="114"/>
        <v>0</v>
      </c>
      <c r="AK151" s="291">
        <f t="shared" si="114"/>
        <v>0</v>
      </c>
      <c r="AL151" s="291">
        <f t="shared" si="114"/>
        <v>0</v>
      </c>
      <c r="AM151" s="291">
        <f t="shared" si="114"/>
        <v>0</v>
      </c>
      <c r="AO151" s="181"/>
      <c r="AP151" s="181"/>
      <c r="AQ151" s="181"/>
      <c r="AR151" s="181"/>
      <c r="AS151" s="181"/>
      <c r="AT151" s="181"/>
      <c r="AU151" s="181"/>
      <c r="AV151" s="181"/>
      <c r="AW151" s="181"/>
      <c r="AX151" s="181"/>
      <c r="AY151" s="181"/>
      <c r="AZ151" s="181"/>
      <c r="BA151" s="181"/>
      <c r="BB151" s="181"/>
      <c r="BC151" s="181"/>
      <c r="BD151" s="181"/>
      <c r="BE151" s="181"/>
      <c r="BF151" s="181"/>
      <c r="BG151" s="181"/>
      <c r="BH151" s="181"/>
      <c r="BI151" s="181"/>
      <c r="BJ151" s="181"/>
      <c r="BK151" s="181"/>
      <c r="BL151" s="181"/>
      <c r="BM151" s="181"/>
      <c r="BN151" s="181"/>
      <c r="BO151" s="181"/>
      <c r="BP151" s="181"/>
      <c r="BQ151" s="181"/>
      <c r="BR151" s="181"/>
      <c r="BS151" s="181"/>
      <c r="BT151" s="181"/>
      <c r="BU151" s="181"/>
      <c r="BV151" s="181"/>
      <c r="BW151" s="181"/>
      <c r="BX151" s="181"/>
      <c r="BY151" s="181"/>
      <c r="BZ151" s="181"/>
      <c r="CA151" s="181"/>
      <c r="CB151" s="181"/>
    </row>
    <row r="152" spans="1:80" s="373" customFormat="1" x14ac:dyDescent="0.3">
      <c r="A152" s="369"/>
      <c r="B152" s="369"/>
      <c r="C152" s="364" t="s">
        <v>260</v>
      </c>
      <c r="D152" s="370"/>
      <c r="E152" s="375">
        <f>SUM(F152:AM152)</f>
        <v>12787655.148585819</v>
      </c>
      <c r="F152" s="372">
        <f t="shared" ref="F152:AM152" si="115">F149*F129</f>
        <v>0</v>
      </c>
      <c r="G152" s="372">
        <f t="shared" si="115"/>
        <v>586853.53024427872</v>
      </c>
      <c r="H152" s="372">
        <f t="shared" si="115"/>
        <v>2978035.8640793907</v>
      </c>
      <c r="I152" s="372">
        <f t="shared" si="115"/>
        <v>9222765.7542621493</v>
      </c>
      <c r="J152" s="372">
        <f t="shared" si="115"/>
        <v>0</v>
      </c>
      <c r="K152" s="372">
        <f t="shared" si="115"/>
        <v>0</v>
      </c>
      <c r="L152" s="372">
        <f t="shared" si="115"/>
        <v>0</v>
      </c>
      <c r="M152" s="372">
        <f t="shared" si="115"/>
        <v>0</v>
      </c>
      <c r="N152" s="372">
        <f t="shared" si="115"/>
        <v>0</v>
      </c>
      <c r="O152" s="372">
        <f t="shared" si="115"/>
        <v>0</v>
      </c>
      <c r="P152" s="372">
        <f t="shared" si="115"/>
        <v>0</v>
      </c>
      <c r="Q152" s="372">
        <f t="shared" si="115"/>
        <v>0</v>
      </c>
      <c r="R152" s="372">
        <f t="shared" si="115"/>
        <v>0</v>
      </c>
      <c r="S152" s="372">
        <f t="shared" si="115"/>
        <v>0</v>
      </c>
      <c r="T152" s="372">
        <f t="shared" si="115"/>
        <v>0</v>
      </c>
      <c r="U152" s="372">
        <f t="shared" si="115"/>
        <v>0</v>
      </c>
      <c r="V152" s="372">
        <f t="shared" si="115"/>
        <v>0</v>
      </c>
      <c r="W152" s="372">
        <f t="shared" si="115"/>
        <v>0</v>
      </c>
      <c r="X152" s="372">
        <f t="shared" si="115"/>
        <v>0</v>
      </c>
      <c r="Y152" s="372">
        <f t="shared" si="115"/>
        <v>0</v>
      </c>
      <c r="Z152" s="372">
        <f t="shared" si="115"/>
        <v>0</v>
      </c>
      <c r="AA152" s="372">
        <f t="shared" si="115"/>
        <v>0</v>
      </c>
      <c r="AB152" s="372">
        <f t="shared" si="115"/>
        <v>0</v>
      </c>
      <c r="AC152" s="372">
        <f t="shared" si="115"/>
        <v>0</v>
      </c>
      <c r="AD152" s="372">
        <f t="shared" si="115"/>
        <v>0</v>
      </c>
      <c r="AE152" s="372">
        <f t="shared" si="115"/>
        <v>0</v>
      </c>
      <c r="AF152" s="372">
        <f t="shared" si="115"/>
        <v>0</v>
      </c>
      <c r="AG152" s="372">
        <f t="shared" si="115"/>
        <v>0</v>
      </c>
      <c r="AH152" s="372">
        <f t="shared" si="115"/>
        <v>0</v>
      </c>
      <c r="AI152" s="372">
        <f t="shared" si="115"/>
        <v>0</v>
      </c>
      <c r="AJ152" s="372">
        <f t="shared" si="115"/>
        <v>0</v>
      </c>
      <c r="AK152" s="372">
        <f t="shared" si="115"/>
        <v>0</v>
      </c>
      <c r="AL152" s="372">
        <f t="shared" si="115"/>
        <v>0</v>
      </c>
      <c r="AM152" s="372">
        <f t="shared" si="115"/>
        <v>0</v>
      </c>
      <c r="AO152" s="374"/>
      <c r="AP152" s="374"/>
      <c r="AQ152" s="374"/>
      <c r="AR152" s="374"/>
      <c r="AS152" s="374"/>
      <c r="AT152" s="374"/>
      <c r="AU152" s="374"/>
      <c r="AV152" s="374"/>
      <c r="AW152" s="374"/>
      <c r="AX152" s="374"/>
      <c r="AY152" s="374"/>
      <c r="AZ152" s="374"/>
      <c r="BA152" s="374"/>
      <c r="BB152" s="374"/>
      <c r="BC152" s="374"/>
      <c r="BD152" s="374"/>
      <c r="BE152" s="374"/>
      <c r="BF152" s="374"/>
      <c r="BG152" s="374"/>
      <c r="BH152" s="374"/>
      <c r="BI152" s="374"/>
      <c r="BJ152" s="374"/>
      <c r="BK152" s="374"/>
      <c r="BL152" s="374"/>
      <c r="BM152" s="374"/>
      <c r="BN152" s="374"/>
      <c r="BO152" s="374"/>
      <c r="BP152" s="374"/>
      <c r="BQ152" s="374"/>
      <c r="BR152" s="374"/>
      <c r="BS152" s="374"/>
      <c r="BT152" s="374"/>
      <c r="BU152" s="374"/>
      <c r="BV152" s="374"/>
      <c r="BW152" s="374"/>
      <c r="BX152" s="374"/>
      <c r="BY152" s="374"/>
      <c r="BZ152" s="374"/>
      <c r="CA152" s="374"/>
      <c r="CB152" s="374"/>
    </row>
    <row r="153" spans="1:80" x14ac:dyDescent="0.3">
      <c r="A153" s="47"/>
      <c r="B153" s="47"/>
      <c r="C153" s="2"/>
      <c r="D153" s="107"/>
      <c r="E153" s="161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  <c r="BF153" s="44"/>
      <c r="BG153" s="44"/>
      <c r="BH153" s="44"/>
      <c r="BI153" s="44"/>
      <c r="BJ153" s="44"/>
      <c r="BK153" s="44"/>
      <c r="BL153" s="44"/>
      <c r="BM153" s="44"/>
      <c r="BN153" s="44"/>
      <c r="BO153" s="44"/>
      <c r="BP153" s="44"/>
      <c r="BQ153" s="44"/>
      <c r="BR153" s="44"/>
      <c r="BS153" s="44"/>
      <c r="BT153" s="44"/>
      <c r="BU153" s="44"/>
      <c r="BV153" s="44"/>
      <c r="BW153" s="44"/>
      <c r="BX153" s="44"/>
      <c r="BY153" s="44"/>
      <c r="BZ153" s="44"/>
      <c r="CA153" s="44"/>
      <c r="CB153" s="44"/>
    </row>
    <row r="154" spans="1:80" ht="21.6" x14ac:dyDescent="0.4">
      <c r="A154" s="47"/>
      <c r="B154" s="47"/>
      <c r="C154" s="106" t="s">
        <v>152</v>
      </c>
      <c r="D154" s="110"/>
      <c r="E154" s="161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  <c r="BF154" s="44"/>
      <c r="BG154" s="44"/>
      <c r="BH154" s="44"/>
      <c r="BI154" s="44"/>
      <c r="BJ154" s="44"/>
      <c r="BK154" s="44"/>
      <c r="BL154" s="44"/>
      <c r="BM154" s="44"/>
      <c r="BN154" s="44"/>
      <c r="BO154" s="44"/>
      <c r="BP154" s="44"/>
      <c r="BQ154" s="44"/>
      <c r="BR154" s="44"/>
      <c r="BS154" s="44"/>
      <c r="BT154" s="44"/>
      <c r="BU154" s="44"/>
      <c r="BV154" s="44"/>
      <c r="BW154" s="44"/>
      <c r="BX154" s="44"/>
      <c r="BY154" s="44"/>
      <c r="BZ154" s="44"/>
      <c r="CA154" s="44"/>
      <c r="CB154" s="44"/>
    </row>
    <row r="155" spans="1:80" s="44" customFormat="1" ht="16.8" x14ac:dyDescent="0.3">
      <c r="A155" s="125"/>
      <c r="B155" s="125"/>
      <c r="C155" s="125" t="s">
        <v>173</v>
      </c>
      <c r="D155" s="112"/>
      <c r="E155" s="162"/>
      <c r="F155" s="292"/>
      <c r="G155" s="292"/>
      <c r="H155" s="292"/>
      <c r="I155" s="292"/>
      <c r="J155" s="292"/>
      <c r="K155" s="292"/>
      <c r="L155" s="292"/>
      <c r="M155" s="292"/>
      <c r="N155" s="292"/>
      <c r="O155" s="292"/>
      <c r="P155" s="292"/>
      <c r="Q155" s="292"/>
      <c r="R155" s="292"/>
      <c r="S155" s="292"/>
      <c r="T155" s="292"/>
      <c r="U155" s="292"/>
      <c r="V155" s="292"/>
      <c r="W155" s="292"/>
      <c r="X155" s="292"/>
      <c r="Y155" s="292"/>
      <c r="Z155" s="292"/>
      <c r="AA155" s="292"/>
      <c r="AB155" s="292"/>
      <c r="AC155" s="292"/>
      <c r="AD155" s="292"/>
      <c r="AE155" s="293"/>
      <c r="AF155" s="293"/>
      <c r="AG155" s="293"/>
      <c r="AH155" s="293"/>
      <c r="AI155" s="293"/>
      <c r="AJ155" s="293"/>
      <c r="AK155" s="293"/>
      <c r="AL155" s="293"/>
      <c r="AM155" s="293"/>
    </row>
    <row r="156" spans="1:80" s="132" customFormat="1" x14ac:dyDescent="0.3">
      <c r="A156" s="47"/>
      <c r="B156" s="47"/>
      <c r="C156" s="47" t="s">
        <v>173</v>
      </c>
      <c r="D156" s="156" t="s">
        <v>214</v>
      </c>
      <c r="E156" s="164">
        <f>SUM(F156:AM156)</f>
        <v>278961305.70930487</v>
      </c>
      <c r="F156" s="295">
        <f>'Global Financial Model'!C81</f>
        <v>0</v>
      </c>
      <c r="G156" s="295">
        <f>'Global Financial Model'!D81</f>
        <v>0</v>
      </c>
      <c r="H156" s="295">
        <f>'Global Financial Model'!E81</f>
        <v>0</v>
      </c>
      <c r="I156" s="295">
        <f>'Global Financial Model'!F81</f>
        <v>0</v>
      </c>
      <c r="J156" s="295">
        <f>'Global Financial Model'!G81</f>
        <v>4041373.4748107381</v>
      </c>
      <c r="K156" s="295">
        <f>'Global Financial Model'!H81</f>
        <v>5388497.9664143175</v>
      </c>
      <c r="L156" s="295">
        <f>'Global Financial Model'!I81</f>
        <v>5730051.417159508</v>
      </c>
      <c r="M156" s="295">
        <f>'Global Financial Model'!J81</f>
        <v>5826428.2104328489</v>
      </c>
      <c r="N156" s="295">
        <f>'Global Financial Model'!K81</f>
        <v>6162086.325855921</v>
      </c>
      <c r="O156" s="295">
        <f>'Global Financial Model'!L81</f>
        <v>6262356.7415775042</v>
      </c>
      <c r="P156" s="295">
        <f>'Global Financial Model'!M81</f>
        <v>6619677.294453972</v>
      </c>
      <c r="Q156" s="295">
        <f>'Global Financial Model'!N81</f>
        <v>6722941.5665168799</v>
      </c>
      <c r="R156" s="295">
        <f>'Global Financial Model'!O81</f>
        <v>7101984.5544584068</v>
      </c>
      <c r="S156" s="295">
        <f>'Global Financial Model'!P81</f>
        <v>7209420.7031126535</v>
      </c>
      <c r="T156" s="295">
        <f>'Global Financial Model'!Q81</f>
        <v>7612457.8685782831</v>
      </c>
      <c r="U156" s="295">
        <f>'Global Financial Model'!R81</f>
        <v>7724234.437638158</v>
      </c>
      <c r="V156" s="295">
        <f>'Global Financial Model'!S81</f>
        <v>8197579.7829282973</v>
      </c>
      <c r="W156" s="295">
        <f>'Global Financial Model'!T81</f>
        <v>8358866.0569378566</v>
      </c>
      <c r="X156" s="295">
        <f>'Global Financial Model'!U81</f>
        <v>8864366.4851176888</v>
      </c>
      <c r="Y156" s="295">
        <f>'Global Financial Model'!V81</f>
        <v>9032168.7245972324</v>
      </c>
      <c r="Z156" s="295">
        <f>'Global Financial Model'!W81</f>
        <v>9571649.7910254784</v>
      </c>
      <c r="AA156" s="295">
        <f>'Global Financial Model'!X81</f>
        <v>9833799.5279549267</v>
      </c>
      <c r="AB156" s="295">
        <f>'Global Financial Model'!Y81</f>
        <v>10503825.615185706</v>
      </c>
      <c r="AC156" s="295">
        <f>'Global Financial Model'!Z81</f>
        <v>10776566.201487105</v>
      </c>
      <c r="AD156" s="295">
        <f>'Global Financial Model'!AA81</f>
        <v>11495698.782015158</v>
      </c>
      <c r="AE156" s="295">
        <f>'Global Financial Model'!AB81</f>
        <v>11779458.088003136</v>
      </c>
      <c r="AF156" s="295">
        <f>'Global Financial Model'!AC81</f>
        <v>12255348.194758466</v>
      </c>
      <c r="AG156" s="295">
        <f>'Global Financial Model'!AD81</f>
        <v>12255348.194758466</v>
      </c>
      <c r="AH156" s="295">
        <f>'Global Financial Model'!AE81</f>
        <v>12750464.261826705</v>
      </c>
      <c r="AI156" s="295">
        <f>'Global Financial Model'!AF81</f>
        <v>12750464.261826705</v>
      </c>
      <c r="AJ156" s="295">
        <f>'Global Financial Model'!AG81</f>
        <v>13265583.018004503</v>
      </c>
      <c r="AK156" s="295">
        <f>'Global Financial Model'!AH81</f>
        <v>13265583.018004503</v>
      </c>
      <c r="AL156" s="295">
        <f>'Global Financial Model'!AI81</f>
        <v>13801512.571931884</v>
      </c>
      <c r="AM156" s="295">
        <f>'Global Financial Model'!AJ81</f>
        <v>13801512.571931884</v>
      </c>
      <c r="AN156" s="44"/>
      <c r="AO156" s="44"/>
      <c r="AP156" s="44"/>
      <c r="AQ156" s="44"/>
      <c r="AR156" s="44"/>
      <c r="AS156" s="4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  <c r="BF156" s="44"/>
      <c r="BG156" s="44"/>
      <c r="BH156" s="44"/>
      <c r="BI156" s="44"/>
      <c r="BJ156" s="44"/>
      <c r="BK156" s="44"/>
      <c r="BL156" s="44"/>
      <c r="BM156" s="44"/>
      <c r="BN156" s="44"/>
      <c r="BO156" s="44"/>
      <c r="BP156" s="44"/>
      <c r="BQ156" s="44"/>
      <c r="BR156" s="44"/>
      <c r="BS156" s="44"/>
      <c r="BT156" s="44"/>
      <c r="BU156" s="44"/>
      <c r="BV156" s="44"/>
      <c r="BW156" s="44"/>
      <c r="BX156" s="44"/>
      <c r="BY156" s="44"/>
      <c r="BZ156" s="44"/>
      <c r="CA156" s="44"/>
      <c r="CB156" s="44"/>
    </row>
    <row r="157" spans="1:80" s="132" customFormat="1" x14ac:dyDescent="0.3">
      <c r="A157" s="47"/>
      <c r="B157" s="47"/>
      <c r="C157" s="365" t="s">
        <v>329</v>
      </c>
      <c r="D157" s="156" t="s">
        <v>214</v>
      </c>
      <c r="E157" s="164">
        <f>SUM(F157:AM157)</f>
        <v>18006245.498679101</v>
      </c>
      <c r="F157" s="296">
        <v>0</v>
      </c>
      <c r="G157" s="272">
        <v>0</v>
      </c>
      <c r="H157" s="272">
        <v>0</v>
      </c>
      <c r="I157" s="272">
        <v>0</v>
      </c>
      <c r="J157" s="271">
        <f>$E27*(1+E32)*(1+F32)*(1+G32)*(1+H32)</f>
        <v>441740.53437499993</v>
      </c>
      <c r="K157" s="272">
        <f t="shared" ref="K157:AM157" si="116">J157*(1+I32)</f>
        <v>452784.04773437488</v>
      </c>
      <c r="L157" s="272">
        <f t="shared" si="116"/>
        <v>461839.72868906241</v>
      </c>
      <c r="M157" s="272">
        <f t="shared" si="116"/>
        <v>471076.52326284366</v>
      </c>
      <c r="N157" s="272">
        <f t="shared" si="116"/>
        <v>480498.05372810055</v>
      </c>
      <c r="O157" s="272">
        <f t="shared" si="116"/>
        <v>490108.0148026626</v>
      </c>
      <c r="P157" s="272">
        <f t="shared" si="116"/>
        <v>499910.17509871587</v>
      </c>
      <c r="Q157" s="272">
        <f t="shared" si="116"/>
        <v>509908.37860069022</v>
      </c>
      <c r="R157" s="272">
        <f t="shared" si="116"/>
        <v>520106.54617270402</v>
      </c>
      <c r="S157" s="272">
        <f t="shared" si="116"/>
        <v>530508.67709615815</v>
      </c>
      <c r="T157" s="272">
        <f t="shared" si="116"/>
        <v>541118.85063808132</v>
      </c>
      <c r="U157" s="272">
        <f t="shared" si="116"/>
        <v>551941.22765084298</v>
      </c>
      <c r="V157" s="272">
        <f t="shared" si="116"/>
        <v>562980.0522038599</v>
      </c>
      <c r="W157" s="272">
        <f t="shared" si="116"/>
        <v>574239.65324793709</v>
      </c>
      <c r="X157" s="272">
        <f t="shared" si="116"/>
        <v>585724.44631289586</v>
      </c>
      <c r="Y157" s="272">
        <f t="shared" si="116"/>
        <v>597438.9352391538</v>
      </c>
      <c r="Z157" s="272">
        <f t="shared" si="116"/>
        <v>609387.71394393686</v>
      </c>
      <c r="AA157" s="272">
        <f t="shared" si="116"/>
        <v>621575.46822281566</v>
      </c>
      <c r="AB157" s="272">
        <f t="shared" si="116"/>
        <v>634006.97758727195</v>
      </c>
      <c r="AC157" s="272">
        <f t="shared" si="116"/>
        <v>646687.11713901744</v>
      </c>
      <c r="AD157" s="272">
        <f t="shared" si="116"/>
        <v>659620.85948179779</v>
      </c>
      <c r="AE157" s="272">
        <f t="shared" si="116"/>
        <v>672813.2766714337</v>
      </c>
      <c r="AF157" s="272">
        <f t="shared" si="116"/>
        <v>686269.54220486234</v>
      </c>
      <c r="AG157" s="272">
        <f t="shared" si="116"/>
        <v>699994.93304895959</v>
      </c>
      <c r="AH157" s="272">
        <f t="shared" si="116"/>
        <v>713994.83170993882</v>
      </c>
      <c r="AI157" s="272">
        <f t="shared" si="116"/>
        <v>728274.72834413766</v>
      </c>
      <c r="AJ157" s="272">
        <f t="shared" si="116"/>
        <v>742840.22291102039</v>
      </c>
      <c r="AK157" s="272">
        <f t="shared" si="116"/>
        <v>757697.02736924076</v>
      </c>
      <c r="AL157" s="272">
        <f t="shared" si="116"/>
        <v>772850.96791662555</v>
      </c>
      <c r="AM157" s="272">
        <f t="shared" si="116"/>
        <v>788307.98727495805</v>
      </c>
      <c r="AN157" s="44"/>
      <c r="AO157" s="44"/>
      <c r="AP157" s="44"/>
      <c r="AQ157" s="44"/>
      <c r="AR157" s="44"/>
      <c r="AS157" s="4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  <c r="BF157" s="44"/>
      <c r="BG157" s="44"/>
      <c r="BH157" s="44"/>
      <c r="BI157" s="44"/>
      <c r="BJ157" s="44"/>
      <c r="BK157" s="44"/>
      <c r="BL157" s="44"/>
      <c r="BM157" s="44"/>
      <c r="BN157" s="44"/>
      <c r="BO157" s="44"/>
      <c r="BP157" s="44"/>
      <c r="BQ157" s="44"/>
      <c r="BR157" s="44"/>
      <c r="BS157" s="44"/>
      <c r="BT157" s="44"/>
      <c r="BU157" s="44"/>
      <c r="BV157" s="44"/>
      <c r="BW157" s="44"/>
      <c r="BX157" s="44"/>
      <c r="BY157" s="44"/>
      <c r="BZ157" s="44"/>
      <c r="CA157" s="44"/>
      <c r="CB157" s="44"/>
    </row>
    <row r="158" spans="1:80" s="44" customFormat="1" x14ac:dyDescent="0.3">
      <c r="A158" s="47"/>
      <c r="B158" s="47"/>
      <c r="C158" s="47"/>
      <c r="D158" s="107"/>
      <c r="E158" s="165"/>
      <c r="F158" s="165"/>
      <c r="G158" s="165"/>
      <c r="H158" s="165"/>
      <c r="I158" s="165"/>
      <c r="J158" s="165"/>
      <c r="K158" s="165"/>
      <c r="L158" s="165"/>
      <c r="M158" s="165"/>
      <c r="N158" s="165"/>
      <c r="O158" s="165"/>
      <c r="P158" s="165"/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6"/>
      <c r="AF158" s="166"/>
      <c r="AG158" s="166"/>
      <c r="AH158" s="166"/>
      <c r="AI158" s="166"/>
      <c r="AJ158" s="166"/>
      <c r="AK158" s="166"/>
      <c r="AL158" s="166"/>
      <c r="AM158" s="166"/>
    </row>
    <row r="159" spans="1:80" s="44" customFormat="1" ht="16.8" x14ac:dyDescent="0.3">
      <c r="A159" s="125"/>
      <c r="B159" s="125"/>
      <c r="C159" s="125" t="s">
        <v>130</v>
      </c>
      <c r="D159" s="112"/>
      <c r="E159" s="162"/>
      <c r="F159" s="268"/>
      <c r="G159" s="268"/>
      <c r="H159" s="268"/>
      <c r="I159" s="268"/>
      <c r="J159" s="268"/>
      <c r="K159" s="268"/>
      <c r="L159" s="268"/>
      <c r="M159" s="268"/>
      <c r="N159" s="268"/>
      <c r="O159" s="268"/>
      <c r="P159" s="268"/>
      <c r="Q159" s="268"/>
      <c r="R159" s="268"/>
      <c r="S159" s="268"/>
      <c r="T159" s="268"/>
      <c r="U159" s="268"/>
      <c r="V159" s="268"/>
      <c r="W159" s="268"/>
      <c r="X159" s="268"/>
      <c r="Y159" s="268"/>
      <c r="Z159" s="268"/>
      <c r="AA159" s="268"/>
      <c r="AB159" s="268"/>
      <c r="AC159" s="268"/>
      <c r="AD159" s="268"/>
      <c r="AE159" s="272"/>
      <c r="AF159" s="272"/>
      <c r="AG159" s="272"/>
      <c r="AH159" s="272"/>
      <c r="AI159" s="272"/>
      <c r="AJ159" s="272"/>
      <c r="AK159" s="272"/>
      <c r="AL159" s="272"/>
      <c r="AM159" s="272"/>
    </row>
    <row r="160" spans="1:80" s="132" customFormat="1" x14ac:dyDescent="0.3">
      <c r="A160" s="47"/>
      <c r="B160" s="47"/>
      <c r="C160" s="47" t="s">
        <v>130</v>
      </c>
      <c r="D160" s="156" t="s">
        <v>214</v>
      </c>
      <c r="E160" s="164">
        <f>SUM(F160:AM160)</f>
        <v>256197223.15754405</v>
      </c>
      <c r="F160" s="294">
        <f>-'Global Financial Model'!C76</f>
        <v>0</v>
      </c>
      <c r="G160" s="295">
        <f>-'Global Financial Model'!D76</f>
        <v>0</v>
      </c>
      <c r="H160" s="295">
        <f>-'Global Financial Model'!E76</f>
        <v>0</v>
      </c>
      <c r="I160" s="295">
        <f>-'Global Financial Model'!F76</f>
        <v>0</v>
      </c>
      <c r="J160" s="295">
        <f>-'Global Financial Model'!G76</f>
        <v>4579224.8709058398</v>
      </c>
      <c r="K160" s="295">
        <f>-'Global Financial Model'!H76</f>
        <v>3665024.2527951486</v>
      </c>
      <c r="L160" s="295">
        <f>-'Global Financial Model'!I76</f>
        <v>4810074.6808413127</v>
      </c>
      <c r="M160" s="295">
        <f>-'Global Financial Model'!J76</f>
        <v>4922752.6637038086</v>
      </c>
      <c r="N160" s="295">
        <f>-'Global Financial Model'!K76</f>
        <v>12870721.787841758</v>
      </c>
      <c r="O160" s="295">
        <f>-'Global Financial Model'!L76</f>
        <v>5156308.0742966067</v>
      </c>
      <c r="P160" s="295">
        <f>-'Global Financial Model'!M76</f>
        <v>5277321.0760550471</v>
      </c>
      <c r="Q160" s="295">
        <f>-'Global Financial Model'!N76</f>
        <v>5401250.8591650324</v>
      </c>
      <c r="R160" s="295">
        <f>-'Global Financial Model'!O76</f>
        <v>5528169.5791431032</v>
      </c>
      <c r="S160" s="295">
        <f>-'Global Financial Model'!P76</f>
        <v>14264196.486164518</v>
      </c>
      <c r="T160" s="295">
        <f>-'Global Financial Model'!Q76</f>
        <v>5791271.6462824829</v>
      </c>
      <c r="U160" s="295">
        <f>-'Global Financial Model'!R76</f>
        <v>5927608.6425757455</v>
      </c>
      <c r="V160" s="295">
        <f>-'Global Financial Model'!S76</f>
        <v>6067241.9726887867</v>
      </c>
      <c r="W160" s="295">
        <f>-'Global Financial Model'!T76</f>
        <v>6210253.4263689686</v>
      </c>
      <c r="X160" s="295">
        <f>-'Global Financial Model'!U76</f>
        <v>15812619.472109525</v>
      </c>
      <c r="Y160" s="295">
        <f>-'Global Financial Model'!V76</f>
        <v>6506748.3151444681</v>
      </c>
      <c r="Z160" s="295">
        <f>-'Global Financial Model'!W76</f>
        <v>6660405.945101901</v>
      </c>
      <c r="AA160" s="295">
        <f>-'Global Financial Model'!X76</f>
        <v>6817790.2008317355</v>
      </c>
      <c r="AB160" s="295">
        <f>-'Global Financial Model'!Y76</f>
        <v>6978993.824970345</v>
      </c>
      <c r="AC160" s="295">
        <f>-'Global Financial Model'!Z76</f>
        <v>17533777.566125192</v>
      </c>
      <c r="AD160" s="295">
        <f>-'Global Financial Model'!AA76</f>
        <v>7313242.0337353684</v>
      </c>
      <c r="AE160" s="295">
        <f>-'Global Financial Model'!AB76</f>
        <v>7486484.1749081584</v>
      </c>
      <c r="AF160" s="295">
        <f>-'Global Financial Model'!AC76</f>
        <v>7663940.9258228224</v>
      </c>
      <c r="AG160" s="295">
        <f>-'Global Financial Model'!AD76</f>
        <v>7845717.4852003111</v>
      </c>
      <c r="AH160" s="295">
        <f>-'Global Financial Model'!AE76</f>
        <v>19447574.458876446</v>
      </c>
      <c r="AI160" s="295">
        <f>-'Global Financial Model'!AF76</f>
        <v>8222664.3427790459</v>
      </c>
      <c r="AJ160" s="295">
        <f>-'Global Financial Model'!AG76</f>
        <v>8418058.7697174083</v>
      </c>
      <c r="AK160" s="295">
        <f>-'Global Financial Model'!AH76</f>
        <v>8618221.4088436104</v>
      </c>
      <c r="AL160" s="295">
        <f>-'Global Financial Model'!AI76</f>
        <v>8823271.6290291194</v>
      </c>
      <c r="AM160" s="295">
        <f>-'Global Financial Model'!AJ76</f>
        <v>21576292.585520405</v>
      </c>
      <c r="AN160" s="44"/>
      <c r="AO160" s="44"/>
      <c r="AP160" s="44"/>
      <c r="AQ160" s="44"/>
      <c r="AR160" s="44"/>
      <c r="AS160" s="4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  <c r="BF160" s="44"/>
      <c r="BG160" s="44"/>
      <c r="BH160" s="44"/>
      <c r="BI160" s="44"/>
      <c r="BJ160" s="44"/>
      <c r="BK160" s="44"/>
      <c r="BL160" s="44"/>
      <c r="BM160" s="44"/>
      <c r="BN160" s="44"/>
      <c r="BO160" s="44"/>
      <c r="BP160" s="44"/>
      <c r="BQ160" s="44"/>
      <c r="BR160" s="44"/>
      <c r="BS160" s="44"/>
      <c r="BT160" s="44"/>
      <c r="BU160" s="44"/>
      <c r="BV160" s="44"/>
      <c r="BW160" s="44"/>
      <c r="BX160" s="44"/>
      <c r="BY160" s="44"/>
      <c r="BZ160" s="44"/>
      <c r="CA160" s="44"/>
      <c r="CB160" s="44"/>
    </row>
    <row r="161" spans="1:80" s="132" customFormat="1" x14ac:dyDescent="0.3">
      <c r="A161" s="47"/>
      <c r="B161" s="47"/>
      <c r="C161" s="47"/>
      <c r="D161" s="107"/>
      <c r="E161" s="174"/>
      <c r="F161" s="296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  <c r="AA161" s="272"/>
      <c r="AB161" s="272"/>
      <c r="AC161" s="272"/>
      <c r="AD161" s="272"/>
      <c r="AE161" s="272"/>
      <c r="AF161" s="272"/>
      <c r="AG161" s="272"/>
      <c r="AH161" s="272"/>
      <c r="AI161" s="272"/>
      <c r="AJ161" s="272"/>
      <c r="AK161" s="272"/>
      <c r="AL161" s="272"/>
      <c r="AM161" s="272"/>
      <c r="AN161" s="44"/>
      <c r="AO161" s="44"/>
      <c r="AP161" s="44"/>
      <c r="AQ161" s="44"/>
      <c r="AR161" s="44"/>
      <c r="AS161" s="4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  <c r="BF161" s="44"/>
      <c r="BG161" s="44"/>
      <c r="BH161" s="44"/>
      <c r="BI161" s="44"/>
      <c r="BJ161" s="44"/>
      <c r="BK161" s="44"/>
      <c r="BL161" s="44"/>
      <c r="BM161" s="44"/>
      <c r="BN161" s="44"/>
      <c r="BO161" s="44"/>
      <c r="BP161" s="44"/>
      <c r="BQ161" s="44"/>
      <c r="BR161" s="44"/>
      <c r="BS161" s="44"/>
      <c r="BT161" s="44"/>
      <c r="BU161" s="44"/>
      <c r="BV161" s="44"/>
      <c r="BW161" s="44"/>
      <c r="BX161" s="44"/>
      <c r="BY161" s="44"/>
      <c r="BZ161" s="44"/>
      <c r="CA161" s="44"/>
      <c r="CB161" s="44"/>
    </row>
    <row r="162" spans="1:80" ht="16.8" x14ac:dyDescent="0.3">
      <c r="A162" s="125"/>
      <c r="B162" s="125"/>
      <c r="C162" s="111" t="s">
        <v>231</v>
      </c>
      <c r="D162" s="112"/>
      <c r="E162" s="167"/>
      <c r="F162" s="167"/>
      <c r="G162" s="167"/>
      <c r="H162" s="167"/>
      <c r="I162" s="167"/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  <c r="V162" s="167"/>
      <c r="W162" s="167"/>
      <c r="X162" s="167"/>
      <c r="Y162" s="167"/>
      <c r="Z162" s="167"/>
      <c r="AA162" s="167"/>
      <c r="AB162" s="167"/>
      <c r="AC162" s="167"/>
      <c r="AD162" s="167"/>
      <c r="AE162" s="163"/>
      <c r="AF162" s="163"/>
      <c r="AG162" s="163"/>
      <c r="AH162" s="163"/>
      <c r="AI162" s="163"/>
      <c r="AJ162" s="163"/>
      <c r="AK162" s="163"/>
      <c r="AL162" s="163"/>
      <c r="AM162" s="163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  <c r="BF162" s="44"/>
      <c r="BG162" s="44"/>
      <c r="BH162" s="44"/>
      <c r="BI162" s="44"/>
      <c r="BJ162" s="44"/>
      <c r="BK162" s="44"/>
      <c r="BL162" s="44"/>
      <c r="BM162" s="44"/>
      <c r="BN162" s="44"/>
      <c r="BO162" s="44"/>
      <c r="BP162" s="44"/>
      <c r="BQ162" s="44"/>
      <c r="BR162" s="44"/>
      <c r="BS162" s="44"/>
      <c r="BT162" s="44"/>
      <c r="BU162" s="44"/>
      <c r="BV162" s="44"/>
      <c r="BW162" s="44"/>
      <c r="BX162" s="44"/>
      <c r="BY162" s="44"/>
      <c r="BZ162" s="44"/>
      <c r="CA162" s="44"/>
      <c r="CB162" s="44"/>
    </row>
    <row r="163" spans="1:80" s="281" customFormat="1" x14ac:dyDescent="0.3">
      <c r="A163" s="275"/>
      <c r="B163" s="275"/>
      <c r="C163" s="276" t="s">
        <v>261</v>
      </c>
      <c r="D163" s="277" t="s">
        <v>214</v>
      </c>
      <c r="E163" s="278"/>
      <c r="F163" s="279">
        <f>E166</f>
        <v>0</v>
      </c>
      <c r="G163" s="279">
        <f t="shared" ref="G163:Z163" si="117">F166</f>
        <v>0</v>
      </c>
      <c r="H163" s="279">
        <f t="shared" si="117"/>
        <v>0</v>
      </c>
      <c r="I163" s="279">
        <f t="shared" si="117"/>
        <v>0</v>
      </c>
      <c r="J163" s="279">
        <f t="shared" si="117"/>
        <v>164.19923395965782</v>
      </c>
      <c r="K163" s="279">
        <f t="shared" si="117"/>
        <v>158.31143567141348</v>
      </c>
      <c r="L163" s="279">
        <f t="shared" si="117"/>
        <v>152.02111070595433</v>
      </c>
      <c r="M163" s="279">
        <f t="shared" si="117"/>
        <v>145.27974388277846</v>
      </c>
      <c r="N163" s="279">
        <f t="shared" si="117"/>
        <v>138.06648138198028</v>
      </c>
      <c r="O163" s="279">
        <f t="shared" si="117"/>
        <v>130.34829050612623</v>
      </c>
      <c r="P163" s="279">
        <f t="shared" si="117"/>
        <v>122.09850351639581</v>
      </c>
      <c r="Q163" s="279">
        <f t="shared" si="117"/>
        <v>113.26131874513071</v>
      </c>
      <c r="R163" s="279">
        <f t="shared" si="117"/>
        <v>103.80553103987705</v>
      </c>
      <c r="S163" s="279">
        <f t="shared" si="117"/>
        <v>93.687838195255651</v>
      </c>
      <c r="T163" s="279">
        <f t="shared" si="117"/>
        <v>82.868466920889347</v>
      </c>
      <c r="U163" s="279">
        <f t="shared" si="117"/>
        <v>71.283803312937053</v>
      </c>
      <c r="V163" s="279">
        <f t="shared" si="117"/>
        <v>58.888213252428102</v>
      </c>
      <c r="W163" s="279">
        <f t="shared" si="117"/>
        <v>45.624931887683523</v>
      </c>
      <c r="X163" s="279">
        <f t="shared" si="117"/>
        <v>31.435969953887906</v>
      </c>
      <c r="Y163" s="279">
        <f t="shared" si="117"/>
        <v>16.249511038966208</v>
      </c>
      <c r="Z163" s="279">
        <f t="shared" si="117"/>
        <v>0</v>
      </c>
      <c r="AA163" s="279">
        <f>Z166</f>
        <v>0</v>
      </c>
      <c r="AB163" s="279">
        <f t="shared" ref="AB163:AM163" si="118">AA166</f>
        <v>0</v>
      </c>
      <c r="AC163" s="279">
        <f t="shared" si="118"/>
        <v>0</v>
      </c>
      <c r="AD163" s="279">
        <f t="shared" si="118"/>
        <v>0</v>
      </c>
      <c r="AE163" s="279">
        <f t="shared" si="118"/>
        <v>0</v>
      </c>
      <c r="AF163" s="279">
        <f t="shared" si="118"/>
        <v>0</v>
      </c>
      <c r="AG163" s="279">
        <f t="shared" si="118"/>
        <v>0</v>
      </c>
      <c r="AH163" s="279">
        <f t="shared" si="118"/>
        <v>0</v>
      </c>
      <c r="AI163" s="279">
        <f t="shared" si="118"/>
        <v>0</v>
      </c>
      <c r="AJ163" s="279">
        <f t="shared" si="118"/>
        <v>0</v>
      </c>
      <c r="AK163" s="279">
        <f t="shared" si="118"/>
        <v>0</v>
      </c>
      <c r="AL163" s="279">
        <f t="shared" si="118"/>
        <v>0</v>
      </c>
      <c r="AM163" s="279">
        <f t="shared" si="118"/>
        <v>0</v>
      </c>
      <c r="AN163" s="280"/>
      <c r="AO163" s="280"/>
      <c r="AP163" s="280"/>
      <c r="AQ163" s="280"/>
      <c r="AR163" s="280"/>
      <c r="AS163" s="280"/>
      <c r="AT163" s="280"/>
      <c r="AU163" s="280"/>
      <c r="AV163" s="280"/>
      <c r="AW163" s="280"/>
      <c r="AX163" s="280"/>
      <c r="AY163" s="280"/>
      <c r="AZ163" s="280"/>
      <c r="BA163" s="280"/>
      <c r="BB163" s="280"/>
      <c r="BC163" s="280"/>
      <c r="BD163" s="280"/>
      <c r="BE163" s="280"/>
      <c r="BF163" s="280"/>
      <c r="BG163" s="280"/>
      <c r="BH163" s="280"/>
      <c r="BI163" s="280"/>
      <c r="BJ163" s="280"/>
      <c r="BK163" s="280"/>
      <c r="BL163" s="280"/>
      <c r="BM163" s="280"/>
      <c r="BN163" s="280"/>
      <c r="BO163" s="280"/>
      <c r="BP163" s="280"/>
      <c r="BQ163" s="280"/>
      <c r="BR163" s="280"/>
      <c r="BS163" s="280"/>
      <c r="BT163" s="280"/>
      <c r="BU163" s="280"/>
      <c r="BV163" s="280"/>
      <c r="BW163" s="280"/>
      <c r="BX163" s="280"/>
      <c r="BY163" s="280"/>
      <c r="BZ163" s="280"/>
      <c r="CA163" s="280"/>
      <c r="CB163" s="280"/>
    </row>
    <row r="164" spans="1:80" x14ac:dyDescent="0.3">
      <c r="A164" s="47"/>
      <c r="B164" s="47"/>
      <c r="C164" s="2" t="s">
        <v>263</v>
      </c>
      <c r="D164" s="156" t="s">
        <v>214</v>
      </c>
      <c r="E164" s="164">
        <f>SUM(F164:AM164)</f>
        <v>164.19923395965782</v>
      </c>
      <c r="F164" s="171">
        <f t="shared" ref="F164:AM164" si="119">-F126</f>
        <v>0</v>
      </c>
      <c r="G164" s="171">
        <f t="shared" si="119"/>
        <v>0</v>
      </c>
      <c r="H164" s="171">
        <f t="shared" si="119"/>
        <v>0</v>
      </c>
      <c r="I164" s="171">
        <f t="shared" si="119"/>
        <v>164.19923395965782</v>
      </c>
      <c r="J164" s="171">
        <f t="shared" si="119"/>
        <v>0</v>
      </c>
      <c r="K164" s="171">
        <f t="shared" si="119"/>
        <v>0</v>
      </c>
      <c r="L164" s="171">
        <f t="shared" si="119"/>
        <v>0</v>
      </c>
      <c r="M164" s="171">
        <f t="shared" si="119"/>
        <v>0</v>
      </c>
      <c r="N164" s="171">
        <f t="shared" si="119"/>
        <v>0</v>
      </c>
      <c r="O164" s="171">
        <f t="shared" si="119"/>
        <v>0</v>
      </c>
      <c r="P164" s="171">
        <f t="shared" si="119"/>
        <v>0</v>
      </c>
      <c r="Q164" s="171">
        <f t="shared" si="119"/>
        <v>0</v>
      </c>
      <c r="R164" s="171">
        <f t="shared" si="119"/>
        <v>0</v>
      </c>
      <c r="S164" s="171">
        <f t="shared" si="119"/>
        <v>0</v>
      </c>
      <c r="T164" s="171">
        <f t="shared" si="119"/>
        <v>0</v>
      </c>
      <c r="U164" s="171">
        <f t="shared" si="119"/>
        <v>0</v>
      </c>
      <c r="V164" s="171">
        <f t="shared" si="119"/>
        <v>0</v>
      </c>
      <c r="W164" s="171">
        <f t="shared" si="119"/>
        <v>0</v>
      </c>
      <c r="X164" s="171">
        <f t="shared" si="119"/>
        <v>0</v>
      </c>
      <c r="Y164" s="171">
        <f t="shared" si="119"/>
        <v>0</v>
      </c>
      <c r="Z164" s="171">
        <f t="shared" si="119"/>
        <v>0</v>
      </c>
      <c r="AA164" s="171">
        <f t="shared" si="119"/>
        <v>0</v>
      </c>
      <c r="AB164" s="171">
        <f t="shared" si="119"/>
        <v>0</v>
      </c>
      <c r="AC164" s="171">
        <f t="shared" si="119"/>
        <v>0</v>
      </c>
      <c r="AD164" s="171">
        <f t="shared" si="119"/>
        <v>0</v>
      </c>
      <c r="AE164" s="171">
        <f t="shared" si="119"/>
        <v>0</v>
      </c>
      <c r="AF164" s="171">
        <f t="shared" si="119"/>
        <v>0</v>
      </c>
      <c r="AG164" s="171">
        <f t="shared" si="119"/>
        <v>0</v>
      </c>
      <c r="AH164" s="171">
        <f t="shared" si="119"/>
        <v>0</v>
      </c>
      <c r="AI164" s="171">
        <f t="shared" si="119"/>
        <v>0</v>
      </c>
      <c r="AJ164" s="171">
        <f t="shared" si="119"/>
        <v>0</v>
      </c>
      <c r="AK164" s="171">
        <f t="shared" si="119"/>
        <v>0</v>
      </c>
      <c r="AL164" s="171">
        <f t="shared" si="119"/>
        <v>0</v>
      </c>
      <c r="AM164" s="171">
        <f t="shared" si="119"/>
        <v>0</v>
      </c>
      <c r="AN164" s="44"/>
      <c r="AO164" s="44"/>
      <c r="AP164" s="44"/>
      <c r="AQ164" s="44"/>
      <c r="AR164" s="44"/>
      <c r="AS164" s="4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  <c r="BF164" s="44"/>
      <c r="BG164" s="44"/>
      <c r="BH164" s="44"/>
      <c r="BI164" s="44"/>
      <c r="BJ164" s="44"/>
      <c r="BK164" s="44"/>
      <c r="BL164" s="44"/>
      <c r="BM164" s="44"/>
      <c r="BN164" s="44"/>
      <c r="BO164" s="44"/>
      <c r="BP164" s="44"/>
      <c r="BQ164" s="44"/>
      <c r="BR164" s="44"/>
      <c r="BS164" s="44"/>
      <c r="BT164" s="44"/>
      <c r="BU164" s="44"/>
      <c r="BV164" s="44"/>
      <c r="BW164" s="44"/>
      <c r="BX164" s="44"/>
      <c r="BY164" s="44"/>
      <c r="BZ164" s="44"/>
      <c r="CA164" s="44"/>
      <c r="CB164" s="44"/>
    </row>
    <row r="165" spans="1:80" x14ac:dyDescent="0.3">
      <c r="A165" s="47"/>
      <c r="B165" s="47"/>
      <c r="C165" s="2" t="s">
        <v>324</v>
      </c>
      <c r="D165" s="156" t="s">
        <v>214</v>
      </c>
      <c r="E165" s="164">
        <f>SUM(F165:AM165)</f>
        <v>-164.19923395965787</v>
      </c>
      <c r="F165" s="170">
        <f>IF(F79=1,-F198,0)</f>
        <v>0</v>
      </c>
      <c r="G165" s="170">
        <f t="shared" ref="G165:AM165" si="120">IF(G79=1,-G198,0)</f>
        <v>0</v>
      </c>
      <c r="H165" s="170">
        <f t="shared" si="120"/>
        <v>0</v>
      </c>
      <c r="I165" s="170">
        <f t="shared" si="120"/>
        <v>0</v>
      </c>
      <c r="J165" s="170">
        <f t="shared" si="120"/>
        <v>-5.8877982882443387</v>
      </c>
      <c r="K165" s="170">
        <f t="shared" si="120"/>
        <v>-6.2903249654591562</v>
      </c>
      <c r="L165" s="170">
        <f t="shared" si="120"/>
        <v>-6.7413668231758752</v>
      </c>
      <c r="M165" s="170">
        <f t="shared" si="120"/>
        <v>-7.2132625007981872</v>
      </c>
      <c r="N165" s="170">
        <f t="shared" si="120"/>
        <v>-7.7181908758540594</v>
      </c>
      <c r="O165" s="170">
        <f t="shared" si="120"/>
        <v>-8.2497869897304223</v>
      </c>
      <c r="P165" s="170">
        <f t="shared" si="120"/>
        <v>-8.8371847712650951</v>
      </c>
      <c r="Q165" s="170">
        <f t="shared" si="120"/>
        <v>-9.4557877052536501</v>
      </c>
      <c r="R165" s="170">
        <f t="shared" si="120"/>
        <v>-10.117692844621402</v>
      </c>
      <c r="S165" s="170">
        <f t="shared" si="120"/>
        <v>-10.819371274366311</v>
      </c>
      <c r="T165" s="170">
        <f t="shared" si="120"/>
        <v>-11.584663607952297</v>
      </c>
      <c r="U165" s="170">
        <f t="shared" si="120"/>
        <v>-12.395590060508951</v>
      </c>
      <c r="V165" s="170">
        <f t="shared" si="120"/>
        <v>-13.263281364744579</v>
      </c>
      <c r="W165" s="170">
        <f t="shared" si="120"/>
        <v>-14.188961933795619</v>
      </c>
      <c r="X165" s="170">
        <f t="shared" si="120"/>
        <v>-15.186458914921698</v>
      </c>
      <c r="Y165" s="170">
        <f t="shared" si="120"/>
        <v>-16.249511038966219</v>
      </c>
      <c r="Z165" s="170">
        <f t="shared" si="120"/>
        <v>0</v>
      </c>
      <c r="AA165" s="170">
        <f t="shared" si="120"/>
        <v>0</v>
      </c>
      <c r="AB165" s="170">
        <f t="shared" si="120"/>
        <v>0</v>
      </c>
      <c r="AC165" s="170">
        <f t="shared" si="120"/>
        <v>0</v>
      </c>
      <c r="AD165" s="170">
        <f t="shared" si="120"/>
        <v>0</v>
      </c>
      <c r="AE165" s="170">
        <f t="shared" si="120"/>
        <v>0</v>
      </c>
      <c r="AF165" s="170">
        <f t="shared" si="120"/>
        <v>0</v>
      </c>
      <c r="AG165" s="170">
        <f t="shared" si="120"/>
        <v>0</v>
      </c>
      <c r="AH165" s="170">
        <f t="shared" si="120"/>
        <v>0</v>
      </c>
      <c r="AI165" s="170">
        <f t="shared" si="120"/>
        <v>0</v>
      </c>
      <c r="AJ165" s="170">
        <f t="shared" si="120"/>
        <v>0</v>
      </c>
      <c r="AK165" s="170">
        <f t="shared" si="120"/>
        <v>0</v>
      </c>
      <c r="AL165" s="170">
        <f t="shared" si="120"/>
        <v>0</v>
      </c>
      <c r="AM165" s="170">
        <f t="shared" si="120"/>
        <v>0</v>
      </c>
      <c r="AN165" s="44"/>
      <c r="AO165" s="44"/>
      <c r="AP165" s="44"/>
      <c r="AQ165" s="44"/>
      <c r="AR165" s="44"/>
      <c r="AS165" s="4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  <c r="BF165" s="44"/>
      <c r="BG165" s="44"/>
      <c r="BH165" s="44"/>
      <c r="BI165" s="44"/>
      <c r="BJ165" s="44"/>
      <c r="BK165" s="44"/>
      <c r="BL165" s="44"/>
      <c r="BM165" s="44"/>
      <c r="BN165" s="44"/>
      <c r="BO165" s="44"/>
      <c r="BP165" s="44"/>
      <c r="BQ165" s="44"/>
      <c r="BR165" s="44"/>
      <c r="BS165" s="44"/>
      <c r="BT165" s="44"/>
      <c r="BU165" s="44"/>
      <c r="BV165" s="44"/>
      <c r="BW165" s="44"/>
      <c r="BX165" s="44"/>
      <c r="BY165" s="44"/>
      <c r="BZ165" s="44"/>
      <c r="CA165" s="44"/>
      <c r="CB165" s="44"/>
    </row>
    <row r="166" spans="1:80" x14ac:dyDescent="0.3">
      <c r="A166" s="47"/>
      <c r="B166" s="47"/>
      <c r="C166" s="2" t="s">
        <v>264</v>
      </c>
      <c r="D166" s="156" t="s">
        <v>214</v>
      </c>
      <c r="E166" s="172"/>
      <c r="F166" s="297">
        <f>SUM(F163:F165)</f>
        <v>0</v>
      </c>
      <c r="G166" s="298">
        <f t="shared" ref="G166:AA166" si="121">SUM(G163:G165)</f>
        <v>0</v>
      </c>
      <c r="H166" s="298">
        <f t="shared" si="121"/>
        <v>0</v>
      </c>
      <c r="I166" s="298">
        <f t="shared" si="121"/>
        <v>164.19923395965782</v>
      </c>
      <c r="J166" s="298">
        <f t="shared" si="121"/>
        <v>158.31143567141348</v>
      </c>
      <c r="K166" s="298">
        <f t="shared" si="121"/>
        <v>152.02111070595433</v>
      </c>
      <c r="L166" s="298">
        <f t="shared" si="121"/>
        <v>145.27974388277846</v>
      </c>
      <c r="M166" s="298">
        <f t="shared" si="121"/>
        <v>138.06648138198028</v>
      </c>
      <c r="N166" s="298">
        <f t="shared" si="121"/>
        <v>130.34829050612623</v>
      </c>
      <c r="O166" s="298">
        <f t="shared" si="121"/>
        <v>122.09850351639581</v>
      </c>
      <c r="P166" s="298">
        <f t="shared" si="121"/>
        <v>113.26131874513071</v>
      </c>
      <c r="Q166" s="298">
        <f t="shared" si="121"/>
        <v>103.80553103987705</v>
      </c>
      <c r="R166" s="298">
        <f t="shared" si="121"/>
        <v>93.687838195255651</v>
      </c>
      <c r="S166" s="298">
        <f t="shared" si="121"/>
        <v>82.868466920889347</v>
      </c>
      <c r="T166" s="298">
        <f t="shared" si="121"/>
        <v>71.283803312937053</v>
      </c>
      <c r="U166" s="298">
        <f t="shared" si="121"/>
        <v>58.888213252428102</v>
      </c>
      <c r="V166" s="298">
        <f t="shared" si="121"/>
        <v>45.624931887683523</v>
      </c>
      <c r="W166" s="298">
        <f t="shared" si="121"/>
        <v>31.435969953887906</v>
      </c>
      <c r="X166" s="298">
        <f t="shared" si="121"/>
        <v>16.249511038966208</v>
      </c>
      <c r="Y166" s="298">
        <f t="shared" si="121"/>
        <v>0</v>
      </c>
      <c r="Z166" s="298">
        <f t="shared" si="121"/>
        <v>0</v>
      </c>
      <c r="AA166" s="298">
        <f t="shared" si="121"/>
        <v>0</v>
      </c>
      <c r="AB166" s="298">
        <f t="shared" ref="AB166:AM166" si="122">SUM(AB163:AB165)</f>
        <v>0</v>
      </c>
      <c r="AC166" s="298">
        <f t="shared" si="122"/>
        <v>0</v>
      </c>
      <c r="AD166" s="298">
        <f t="shared" si="122"/>
        <v>0</v>
      </c>
      <c r="AE166" s="298">
        <f t="shared" si="122"/>
        <v>0</v>
      </c>
      <c r="AF166" s="298">
        <f t="shared" si="122"/>
        <v>0</v>
      </c>
      <c r="AG166" s="298">
        <f t="shared" si="122"/>
        <v>0</v>
      </c>
      <c r="AH166" s="298">
        <f t="shared" si="122"/>
        <v>0</v>
      </c>
      <c r="AI166" s="298">
        <f t="shared" si="122"/>
        <v>0</v>
      </c>
      <c r="AJ166" s="298">
        <f t="shared" si="122"/>
        <v>0</v>
      </c>
      <c r="AK166" s="298">
        <f t="shared" si="122"/>
        <v>0</v>
      </c>
      <c r="AL166" s="298">
        <f t="shared" si="122"/>
        <v>0</v>
      </c>
      <c r="AM166" s="298">
        <f t="shared" si="122"/>
        <v>0</v>
      </c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</row>
    <row r="167" spans="1:80" x14ac:dyDescent="0.3">
      <c r="A167" s="47"/>
      <c r="B167" s="47"/>
      <c r="C167" s="2"/>
      <c r="D167" s="107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  <c r="BF167" s="44"/>
      <c r="BG167" s="44"/>
      <c r="BH167" s="44"/>
      <c r="BI167" s="44"/>
      <c r="BJ167" s="44"/>
      <c r="BK167" s="44"/>
      <c r="BL167" s="44"/>
      <c r="BM167" s="44"/>
      <c r="BN167" s="44"/>
      <c r="BO167" s="44"/>
      <c r="BP167" s="44"/>
      <c r="BQ167" s="44"/>
      <c r="BR167" s="44"/>
      <c r="BS167" s="44"/>
      <c r="BT167" s="44"/>
      <c r="BU167" s="44"/>
      <c r="BV167" s="44"/>
      <c r="BW167" s="44"/>
      <c r="BX167" s="44"/>
      <c r="BY167" s="44"/>
      <c r="BZ167" s="44"/>
      <c r="CA167" s="44"/>
      <c r="CB167" s="44"/>
    </row>
    <row r="168" spans="1:80" s="368" customFormat="1" x14ac:dyDescent="0.3">
      <c r="A168" s="365"/>
      <c r="B168" s="365"/>
      <c r="C168" s="376" t="s">
        <v>277</v>
      </c>
      <c r="D168" s="366" t="s">
        <v>214</v>
      </c>
      <c r="E168" s="377"/>
      <c r="F168" s="378">
        <f>E171</f>
        <v>0</v>
      </c>
      <c r="G168" s="378">
        <f t="shared" ref="G168:AM168" si="123">F171</f>
        <v>0</v>
      </c>
      <c r="H168" s="378">
        <f t="shared" si="123"/>
        <v>0</v>
      </c>
      <c r="I168" s="378">
        <f t="shared" si="123"/>
        <v>0</v>
      </c>
      <c r="J168" s="378">
        <f t="shared" si="123"/>
        <v>162274526.41962275</v>
      </c>
      <c r="K168" s="378">
        <f t="shared" si="123"/>
        <v>154217458.55197898</v>
      </c>
      <c r="L168" s="378">
        <f t="shared" si="123"/>
        <v>145606455.48238653</v>
      </c>
      <c r="M168" s="378">
        <f t="shared" si="123"/>
        <v>136381281.13884604</v>
      </c>
      <c r="N168" s="378">
        <f t="shared" si="123"/>
        <v>126510344.59125771</v>
      </c>
      <c r="O168" s="378">
        <f t="shared" si="123"/>
        <v>115948442.4853382</v>
      </c>
      <c r="P168" s="378">
        <f t="shared" si="123"/>
        <v>104655277.83479249</v>
      </c>
      <c r="Q168" s="378">
        <f t="shared" si="123"/>
        <v>92562023.529588714</v>
      </c>
      <c r="R168" s="378">
        <f t="shared" si="123"/>
        <v>79622241.423020661</v>
      </c>
      <c r="S168" s="378">
        <f t="shared" si="123"/>
        <v>65776674.568992853</v>
      </c>
      <c r="T168" s="378">
        <f t="shared" si="123"/>
        <v>50966268.895557433</v>
      </c>
      <c r="U168" s="378">
        <f t="shared" si="123"/>
        <v>35113126.062014416</v>
      </c>
      <c r="V168" s="378">
        <f t="shared" si="123"/>
        <v>18150263.23012339</v>
      </c>
      <c r="W168" s="378">
        <f t="shared" si="123"/>
        <v>0</v>
      </c>
      <c r="X168" s="378">
        <f t="shared" si="123"/>
        <v>0</v>
      </c>
      <c r="Y168" s="378">
        <f t="shared" si="123"/>
        <v>0</v>
      </c>
      <c r="Z168" s="378">
        <f t="shared" si="123"/>
        <v>0</v>
      </c>
      <c r="AA168" s="378">
        <f t="shared" si="123"/>
        <v>0</v>
      </c>
      <c r="AB168" s="378">
        <f t="shared" si="123"/>
        <v>0</v>
      </c>
      <c r="AC168" s="378">
        <f t="shared" si="123"/>
        <v>0</v>
      </c>
      <c r="AD168" s="378">
        <f t="shared" si="123"/>
        <v>0</v>
      </c>
      <c r="AE168" s="378">
        <f t="shared" si="123"/>
        <v>0</v>
      </c>
      <c r="AF168" s="378">
        <f t="shared" si="123"/>
        <v>0</v>
      </c>
      <c r="AG168" s="378">
        <f t="shared" si="123"/>
        <v>0</v>
      </c>
      <c r="AH168" s="378">
        <f t="shared" si="123"/>
        <v>0</v>
      </c>
      <c r="AI168" s="378">
        <f t="shared" si="123"/>
        <v>0</v>
      </c>
      <c r="AJ168" s="378">
        <f t="shared" si="123"/>
        <v>0</v>
      </c>
      <c r="AK168" s="378">
        <f t="shared" si="123"/>
        <v>0</v>
      </c>
      <c r="AL168" s="378">
        <f t="shared" si="123"/>
        <v>0</v>
      </c>
      <c r="AM168" s="378">
        <f t="shared" si="123"/>
        <v>0</v>
      </c>
      <c r="AO168" s="379"/>
      <c r="AP168" s="379"/>
      <c r="AQ168" s="379"/>
      <c r="AR168" s="379"/>
      <c r="AS168" s="379"/>
      <c r="AT168" s="379"/>
      <c r="AU168" s="379"/>
      <c r="AV168" s="379"/>
      <c r="AW168" s="379"/>
      <c r="AX168" s="379"/>
      <c r="AY168" s="379"/>
      <c r="AZ168" s="379"/>
      <c r="BA168" s="379"/>
      <c r="BB168" s="379"/>
      <c r="BC168" s="379"/>
      <c r="BD168" s="379"/>
      <c r="BE168" s="379"/>
      <c r="BF168" s="379"/>
      <c r="BG168" s="379"/>
      <c r="BH168" s="379"/>
      <c r="BI168" s="379"/>
      <c r="BJ168" s="379"/>
      <c r="BK168" s="379"/>
      <c r="BL168" s="379"/>
      <c r="BM168" s="379"/>
      <c r="BN168" s="379"/>
      <c r="BO168" s="379"/>
      <c r="BP168" s="379"/>
      <c r="BQ168" s="379"/>
      <c r="BR168" s="379"/>
      <c r="BS168" s="379"/>
      <c r="BT168" s="379"/>
      <c r="BU168" s="379"/>
      <c r="BV168" s="379"/>
      <c r="BW168" s="379"/>
      <c r="BX168" s="379"/>
      <c r="BY168" s="379"/>
      <c r="BZ168" s="379"/>
      <c r="CA168" s="379"/>
      <c r="CB168" s="379"/>
    </row>
    <row r="169" spans="1:80" s="368" customFormat="1" x14ac:dyDescent="0.3">
      <c r="A169" s="365"/>
      <c r="B169" s="365"/>
      <c r="C169" s="376" t="s">
        <v>273</v>
      </c>
      <c r="D169" s="366" t="s">
        <v>214</v>
      </c>
      <c r="E169" s="380">
        <f>SUM(F169:AM169)</f>
        <v>162274526.41962275</v>
      </c>
      <c r="F169" s="381">
        <f t="shared" ref="F169:AM169" si="124">-F132</f>
        <v>0</v>
      </c>
      <c r="G169" s="381">
        <f t="shared" si="124"/>
        <v>0</v>
      </c>
      <c r="H169" s="381">
        <f t="shared" si="124"/>
        <v>0</v>
      </c>
      <c r="I169" s="381">
        <f t="shared" si="124"/>
        <v>162274526.41962275</v>
      </c>
      <c r="J169" s="381">
        <f t="shared" si="124"/>
        <v>0</v>
      </c>
      <c r="K169" s="381">
        <f t="shared" si="124"/>
        <v>0</v>
      </c>
      <c r="L169" s="381">
        <f t="shared" si="124"/>
        <v>0</v>
      </c>
      <c r="M169" s="381">
        <f t="shared" si="124"/>
        <v>0</v>
      </c>
      <c r="N169" s="381">
        <f t="shared" si="124"/>
        <v>0</v>
      </c>
      <c r="O169" s="381">
        <f t="shared" si="124"/>
        <v>0</v>
      </c>
      <c r="P169" s="381">
        <f t="shared" si="124"/>
        <v>0</v>
      </c>
      <c r="Q169" s="381">
        <f t="shared" si="124"/>
        <v>0</v>
      </c>
      <c r="R169" s="381">
        <f t="shared" si="124"/>
        <v>0</v>
      </c>
      <c r="S169" s="381">
        <f t="shared" si="124"/>
        <v>0</v>
      </c>
      <c r="T169" s="381">
        <f t="shared" si="124"/>
        <v>0</v>
      </c>
      <c r="U169" s="381">
        <f t="shared" si="124"/>
        <v>0</v>
      </c>
      <c r="V169" s="381">
        <f t="shared" si="124"/>
        <v>0</v>
      </c>
      <c r="W169" s="381">
        <f t="shared" si="124"/>
        <v>0</v>
      </c>
      <c r="X169" s="381">
        <f t="shared" si="124"/>
        <v>0</v>
      </c>
      <c r="Y169" s="381">
        <f t="shared" si="124"/>
        <v>0</v>
      </c>
      <c r="Z169" s="381">
        <f t="shared" si="124"/>
        <v>0</v>
      </c>
      <c r="AA169" s="381">
        <f t="shared" si="124"/>
        <v>0</v>
      </c>
      <c r="AB169" s="381">
        <f t="shared" si="124"/>
        <v>0</v>
      </c>
      <c r="AC169" s="381">
        <f t="shared" si="124"/>
        <v>0</v>
      </c>
      <c r="AD169" s="381">
        <f t="shared" si="124"/>
        <v>0</v>
      </c>
      <c r="AE169" s="381">
        <f t="shared" si="124"/>
        <v>0</v>
      </c>
      <c r="AF169" s="381">
        <f t="shared" si="124"/>
        <v>0</v>
      </c>
      <c r="AG169" s="381">
        <f t="shared" si="124"/>
        <v>0</v>
      </c>
      <c r="AH169" s="381">
        <f t="shared" si="124"/>
        <v>0</v>
      </c>
      <c r="AI169" s="381">
        <f t="shared" si="124"/>
        <v>0</v>
      </c>
      <c r="AJ169" s="381">
        <f t="shared" si="124"/>
        <v>0</v>
      </c>
      <c r="AK169" s="381">
        <f t="shared" si="124"/>
        <v>0</v>
      </c>
      <c r="AL169" s="381">
        <f t="shared" si="124"/>
        <v>0</v>
      </c>
      <c r="AM169" s="381">
        <f t="shared" si="124"/>
        <v>0</v>
      </c>
      <c r="AO169" s="379"/>
      <c r="AP169" s="379"/>
      <c r="AQ169" s="379"/>
      <c r="AR169" s="379"/>
      <c r="AS169" s="379"/>
      <c r="AT169" s="379"/>
      <c r="AU169" s="379"/>
      <c r="AV169" s="379"/>
      <c r="AW169" s="379"/>
      <c r="AX169" s="379"/>
      <c r="AY169" s="379"/>
      <c r="AZ169" s="379"/>
      <c r="BA169" s="379"/>
      <c r="BB169" s="379"/>
      <c r="BC169" s="379"/>
      <c r="BD169" s="379"/>
      <c r="BE169" s="379"/>
      <c r="BF169" s="379"/>
      <c r="BG169" s="379"/>
      <c r="BH169" s="379"/>
      <c r="BI169" s="379"/>
      <c r="BJ169" s="379"/>
      <c r="BK169" s="379"/>
      <c r="BL169" s="379"/>
      <c r="BM169" s="379"/>
      <c r="BN169" s="379"/>
      <c r="BO169" s="379"/>
      <c r="BP169" s="379"/>
      <c r="BQ169" s="379"/>
      <c r="BR169" s="379"/>
      <c r="BS169" s="379"/>
      <c r="BT169" s="379"/>
      <c r="BU169" s="379"/>
      <c r="BV169" s="379"/>
      <c r="BW169" s="379"/>
      <c r="BX169" s="379"/>
      <c r="BY169" s="379"/>
      <c r="BZ169" s="379"/>
      <c r="CA169" s="379"/>
      <c r="CB169" s="379"/>
    </row>
    <row r="170" spans="1:80" s="368" customFormat="1" x14ac:dyDescent="0.3">
      <c r="A170" s="365"/>
      <c r="B170" s="365"/>
      <c r="C170" s="376" t="s">
        <v>325</v>
      </c>
      <c r="D170" s="366" t="s">
        <v>214</v>
      </c>
      <c r="E170" s="380">
        <f>SUM(F170:AM170)</f>
        <v>-162274526.41962272</v>
      </c>
      <c r="F170" s="404">
        <f>IF(F79=1,-F204,0)</f>
        <v>0</v>
      </c>
      <c r="G170" s="404">
        <f t="shared" ref="G170:AM170" si="125">IF(G79=1,-G204,0)</f>
        <v>0</v>
      </c>
      <c r="H170" s="404">
        <f t="shared" si="125"/>
        <v>0</v>
      </c>
      <c r="I170" s="404">
        <f t="shared" si="125"/>
        <v>0</v>
      </c>
      <c r="J170" s="404">
        <f t="shared" si="125"/>
        <v>-8057067.8676437605</v>
      </c>
      <c r="K170" s="404">
        <f t="shared" si="125"/>
        <v>-8611003.0695924349</v>
      </c>
      <c r="L170" s="404">
        <f t="shared" si="125"/>
        <v>-9225174.3435404915</v>
      </c>
      <c r="M170" s="404">
        <f t="shared" si="125"/>
        <v>-9870936.5475883298</v>
      </c>
      <c r="N170" s="404">
        <f t="shared" si="125"/>
        <v>-10561902.105919514</v>
      </c>
      <c r="O170" s="404">
        <f t="shared" si="125"/>
        <v>-11293164.650545698</v>
      </c>
      <c r="P170" s="404">
        <f t="shared" si="125"/>
        <v>-12093254.305203784</v>
      </c>
      <c r="Q170" s="404">
        <f t="shared" si="125"/>
        <v>-12939782.10656805</v>
      </c>
      <c r="R170" s="404">
        <f t="shared" si="125"/>
        <v>-13845566.854027811</v>
      </c>
      <c r="S170" s="404">
        <f t="shared" si="125"/>
        <v>-14810405.67343542</v>
      </c>
      <c r="T170" s="404">
        <f t="shared" si="125"/>
        <v>-15853142.833543014</v>
      </c>
      <c r="U170" s="404">
        <f t="shared" si="125"/>
        <v>-16962862.831891026</v>
      </c>
      <c r="V170" s="404">
        <f t="shared" si="125"/>
        <v>-18150263.230123401</v>
      </c>
      <c r="W170" s="404">
        <f t="shared" si="125"/>
        <v>0</v>
      </c>
      <c r="X170" s="404">
        <f t="shared" si="125"/>
        <v>0</v>
      </c>
      <c r="Y170" s="404">
        <f t="shared" si="125"/>
        <v>0</v>
      </c>
      <c r="Z170" s="404">
        <f t="shared" si="125"/>
        <v>0</v>
      </c>
      <c r="AA170" s="404">
        <f t="shared" si="125"/>
        <v>0</v>
      </c>
      <c r="AB170" s="404">
        <f t="shared" si="125"/>
        <v>0</v>
      </c>
      <c r="AC170" s="404">
        <f t="shared" si="125"/>
        <v>0</v>
      </c>
      <c r="AD170" s="404">
        <f t="shared" si="125"/>
        <v>0</v>
      </c>
      <c r="AE170" s="404">
        <f t="shared" si="125"/>
        <v>0</v>
      </c>
      <c r="AF170" s="404">
        <f t="shared" si="125"/>
        <v>0</v>
      </c>
      <c r="AG170" s="404">
        <f t="shared" si="125"/>
        <v>0</v>
      </c>
      <c r="AH170" s="404">
        <f t="shared" si="125"/>
        <v>0</v>
      </c>
      <c r="AI170" s="404">
        <f t="shared" si="125"/>
        <v>0</v>
      </c>
      <c r="AJ170" s="404">
        <f t="shared" si="125"/>
        <v>0</v>
      </c>
      <c r="AK170" s="404">
        <f t="shared" si="125"/>
        <v>0</v>
      </c>
      <c r="AL170" s="404">
        <f t="shared" si="125"/>
        <v>0</v>
      </c>
      <c r="AM170" s="404">
        <f t="shared" si="125"/>
        <v>0</v>
      </c>
      <c r="AO170" s="379"/>
      <c r="AP170" s="379"/>
      <c r="AQ170" s="379"/>
      <c r="AR170" s="379"/>
      <c r="AS170" s="379"/>
      <c r="AT170" s="379"/>
      <c r="AU170" s="379"/>
      <c r="AV170" s="379"/>
      <c r="AW170" s="379"/>
      <c r="AX170" s="379"/>
      <c r="AY170" s="379"/>
      <c r="AZ170" s="379"/>
      <c r="BA170" s="379"/>
      <c r="BB170" s="379"/>
      <c r="BC170" s="379"/>
      <c r="BD170" s="379"/>
      <c r="BE170" s="379"/>
      <c r="BF170" s="379"/>
      <c r="BG170" s="379"/>
      <c r="BH170" s="379"/>
      <c r="BI170" s="379"/>
      <c r="BJ170" s="379"/>
      <c r="BK170" s="379"/>
      <c r="BL170" s="379"/>
      <c r="BM170" s="379"/>
      <c r="BN170" s="379"/>
      <c r="BO170" s="379"/>
      <c r="BP170" s="379"/>
      <c r="BQ170" s="379"/>
      <c r="BR170" s="379"/>
      <c r="BS170" s="379"/>
      <c r="BT170" s="379"/>
      <c r="BU170" s="379"/>
      <c r="BV170" s="379"/>
      <c r="BW170" s="379"/>
      <c r="BX170" s="379"/>
      <c r="BY170" s="379"/>
      <c r="BZ170" s="379"/>
      <c r="CA170" s="379"/>
      <c r="CB170" s="379"/>
    </row>
    <row r="171" spans="1:80" s="368" customFormat="1" x14ac:dyDescent="0.3">
      <c r="A171" s="365"/>
      <c r="B171" s="365"/>
      <c r="C171" s="376" t="s">
        <v>278</v>
      </c>
      <c r="D171" s="366" t="s">
        <v>214</v>
      </c>
      <c r="E171" s="382"/>
      <c r="F171" s="383">
        <f>SUM(F168:F170)</f>
        <v>0</v>
      </c>
      <c r="G171" s="384">
        <f t="shared" ref="G171:AM171" si="126">SUM(G168:G170)</f>
        <v>0</v>
      </c>
      <c r="H171" s="384">
        <f t="shared" si="126"/>
        <v>0</v>
      </c>
      <c r="I171" s="384">
        <f t="shared" si="126"/>
        <v>162274526.41962275</v>
      </c>
      <c r="J171" s="384">
        <f t="shared" si="126"/>
        <v>154217458.55197898</v>
      </c>
      <c r="K171" s="384">
        <f t="shared" si="126"/>
        <v>145606455.48238653</v>
      </c>
      <c r="L171" s="384">
        <f t="shared" si="126"/>
        <v>136381281.13884604</v>
      </c>
      <c r="M171" s="384">
        <f t="shared" si="126"/>
        <v>126510344.59125771</v>
      </c>
      <c r="N171" s="384">
        <f t="shared" si="126"/>
        <v>115948442.4853382</v>
      </c>
      <c r="O171" s="384">
        <f t="shared" si="126"/>
        <v>104655277.83479249</v>
      </c>
      <c r="P171" s="384">
        <f t="shared" si="126"/>
        <v>92562023.529588714</v>
      </c>
      <c r="Q171" s="384">
        <f t="shared" si="126"/>
        <v>79622241.423020661</v>
      </c>
      <c r="R171" s="384">
        <f t="shared" si="126"/>
        <v>65776674.568992853</v>
      </c>
      <c r="S171" s="384">
        <f t="shared" si="126"/>
        <v>50966268.895557433</v>
      </c>
      <c r="T171" s="384">
        <f t="shared" si="126"/>
        <v>35113126.062014416</v>
      </c>
      <c r="U171" s="384">
        <f t="shared" si="126"/>
        <v>18150263.23012339</v>
      </c>
      <c r="V171" s="384">
        <f t="shared" si="126"/>
        <v>0</v>
      </c>
      <c r="W171" s="384">
        <f t="shared" si="126"/>
        <v>0</v>
      </c>
      <c r="X171" s="384">
        <f t="shared" si="126"/>
        <v>0</v>
      </c>
      <c r="Y171" s="384">
        <f t="shared" si="126"/>
        <v>0</v>
      </c>
      <c r="Z171" s="384">
        <f t="shared" si="126"/>
        <v>0</v>
      </c>
      <c r="AA171" s="384">
        <f t="shared" si="126"/>
        <v>0</v>
      </c>
      <c r="AB171" s="384">
        <f t="shared" si="126"/>
        <v>0</v>
      </c>
      <c r="AC171" s="384">
        <f t="shared" si="126"/>
        <v>0</v>
      </c>
      <c r="AD171" s="384">
        <f t="shared" si="126"/>
        <v>0</v>
      </c>
      <c r="AE171" s="384">
        <f t="shared" si="126"/>
        <v>0</v>
      </c>
      <c r="AF171" s="384">
        <f t="shared" si="126"/>
        <v>0</v>
      </c>
      <c r="AG171" s="384">
        <f t="shared" si="126"/>
        <v>0</v>
      </c>
      <c r="AH171" s="384">
        <f t="shared" si="126"/>
        <v>0</v>
      </c>
      <c r="AI171" s="384">
        <f t="shared" si="126"/>
        <v>0</v>
      </c>
      <c r="AJ171" s="384">
        <f t="shared" si="126"/>
        <v>0</v>
      </c>
      <c r="AK171" s="384">
        <f t="shared" si="126"/>
        <v>0</v>
      </c>
      <c r="AL171" s="384">
        <f t="shared" si="126"/>
        <v>0</v>
      </c>
      <c r="AM171" s="384">
        <f t="shared" si="126"/>
        <v>0</v>
      </c>
      <c r="AO171" s="379"/>
      <c r="AP171" s="379"/>
      <c r="AQ171" s="379"/>
      <c r="AR171" s="379"/>
      <c r="AS171" s="379"/>
      <c r="AT171" s="379"/>
      <c r="AU171" s="379"/>
      <c r="AV171" s="379"/>
      <c r="AW171" s="379"/>
      <c r="AX171" s="379"/>
      <c r="AY171" s="379"/>
      <c r="AZ171" s="379"/>
      <c r="BA171" s="379"/>
      <c r="BB171" s="379"/>
      <c r="BC171" s="379"/>
      <c r="BD171" s="379"/>
      <c r="BE171" s="379"/>
      <c r="BF171" s="379"/>
      <c r="BG171" s="379"/>
      <c r="BH171" s="379"/>
      <c r="BI171" s="379"/>
      <c r="BJ171" s="379"/>
      <c r="BK171" s="379"/>
      <c r="BL171" s="379"/>
      <c r="BM171" s="379"/>
      <c r="BN171" s="379"/>
      <c r="BO171" s="379"/>
      <c r="BP171" s="379"/>
      <c r="BQ171" s="379"/>
      <c r="BR171" s="379"/>
      <c r="BS171" s="379"/>
      <c r="BT171" s="379"/>
      <c r="BU171" s="379"/>
      <c r="BV171" s="379"/>
      <c r="BW171" s="379"/>
      <c r="BX171" s="379"/>
      <c r="BY171" s="379"/>
      <c r="BZ171" s="379"/>
      <c r="CA171" s="379"/>
      <c r="CB171" s="379"/>
    </row>
    <row r="172" spans="1:80" x14ac:dyDescent="0.3">
      <c r="A172" s="47"/>
      <c r="B172" s="47"/>
      <c r="C172" s="2"/>
      <c r="D172" s="107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44"/>
      <c r="BY172" s="44"/>
      <c r="BZ172" s="44"/>
      <c r="CA172" s="44"/>
      <c r="CB172" s="44"/>
    </row>
    <row r="173" spans="1:80" x14ac:dyDescent="0.3">
      <c r="A173" s="47"/>
      <c r="B173" s="47"/>
      <c r="C173" s="2" t="s">
        <v>149</v>
      </c>
      <c r="D173" s="107" t="s">
        <v>144</v>
      </c>
      <c r="E173" s="2"/>
      <c r="F173" s="114">
        <f>LOOKUP(F87,$E$64:$AL$64,$E$65:$AL$65)*F79</f>
        <v>0</v>
      </c>
      <c r="G173" s="114">
        <f t="shared" ref="G173:AM173" si="127">LOOKUP(G87,$E$64:$H$64,$E$65:$H$65)*G79</f>
        <v>0</v>
      </c>
      <c r="H173" s="114">
        <f t="shared" si="127"/>
        <v>0</v>
      </c>
      <c r="I173" s="114">
        <f t="shared" si="127"/>
        <v>0</v>
      </c>
      <c r="J173" s="114">
        <f t="shared" si="127"/>
        <v>3.3300000000000003E-2</v>
      </c>
      <c r="K173" s="114">
        <f t="shared" si="127"/>
        <v>3.3300000000000003E-2</v>
      </c>
      <c r="L173" s="114">
        <f t="shared" si="127"/>
        <v>3.3300000000000003E-2</v>
      </c>
      <c r="M173" s="114">
        <f t="shared" si="127"/>
        <v>3.3300000000000003E-2</v>
      </c>
      <c r="N173" s="114">
        <f t="shared" si="127"/>
        <v>3.3300000000000003E-2</v>
      </c>
      <c r="O173" s="114">
        <f t="shared" si="127"/>
        <v>3.3300000000000003E-2</v>
      </c>
      <c r="P173" s="114">
        <f t="shared" si="127"/>
        <v>3.3300000000000003E-2</v>
      </c>
      <c r="Q173" s="114">
        <f t="shared" si="127"/>
        <v>3.3300000000000003E-2</v>
      </c>
      <c r="R173" s="114">
        <f t="shared" si="127"/>
        <v>3.3300000000000003E-2</v>
      </c>
      <c r="S173" s="114">
        <f t="shared" si="127"/>
        <v>3.3300000000000003E-2</v>
      </c>
      <c r="T173" s="114">
        <f t="shared" si="127"/>
        <v>3.3300000000000003E-2</v>
      </c>
      <c r="U173" s="114">
        <f t="shared" si="127"/>
        <v>3.3300000000000003E-2</v>
      </c>
      <c r="V173" s="114">
        <f t="shared" si="127"/>
        <v>3.3300000000000003E-2</v>
      </c>
      <c r="W173" s="114">
        <f t="shared" si="127"/>
        <v>3.3300000000000003E-2</v>
      </c>
      <c r="X173" s="114">
        <f t="shared" si="127"/>
        <v>3.3300000000000003E-2</v>
      </c>
      <c r="Y173" s="114">
        <f t="shared" si="127"/>
        <v>3.3300000000000003E-2</v>
      </c>
      <c r="Z173" s="114">
        <f t="shared" si="127"/>
        <v>3.3300000000000003E-2</v>
      </c>
      <c r="AA173" s="114">
        <f t="shared" si="127"/>
        <v>3.3300000000000003E-2</v>
      </c>
      <c r="AB173" s="114">
        <f t="shared" si="127"/>
        <v>3.3300000000000003E-2</v>
      </c>
      <c r="AC173" s="114">
        <f t="shared" si="127"/>
        <v>3.3300000000000003E-2</v>
      </c>
      <c r="AD173" s="114">
        <f t="shared" si="127"/>
        <v>3.3300000000000003E-2</v>
      </c>
      <c r="AE173" s="114">
        <f t="shared" si="127"/>
        <v>3.3300000000000003E-2</v>
      </c>
      <c r="AF173" s="114">
        <f t="shared" si="127"/>
        <v>3.3300000000000003E-2</v>
      </c>
      <c r="AG173" s="114">
        <f t="shared" si="127"/>
        <v>3.3300000000000003E-2</v>
      </c>
      <c r="AH173" s="114">
        <f t="shared" si="127"/>
        <v>3.3300000000000003E-2</v>
      </c>
      <c r="AI173" s="114">
        <f t="shared" si="127"/>
        <v>3.3300000000000003E-2</v>
      </c>
      <c r="AJ173" s="114">
        <f t="shared" si="127"/>
        <v>3.3300000000000003E-2</v>
      </c>
      <c r="AK173" s="114">
        <f t="shared" si="127"/>
        <v>3.3300000000000003E-2</v>
      </c>
      <c r="AL173" s="114">
        <f t="shared" si="127"/>
        <v>3.3300000000000003E-2</v>
      </c>
      <c r="AM173" s="114">
        <f t="shared" si="127"/>
        <v>3.3300000000000003E-2</v>
      </c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44"/>
      <c r="BY173" s="44"/>
      <c r="BZ173" s="44"/>
      <c r="CA173" s="44"/>
      <c r="CB173" s="44"/>
    </row>
    <row r="174" spans="1:80" x14ac:dyDescent="0.3">
      <c r="A174" s="47"/>
      <c r="B174" s="47"/>
      <c r="C174" s="2" t="s">
        <v>281</v>
      </c>
      <c r="D174" s="107" t="s">
        <v>144</v>
      </c>
      <c r="E174" s="2"/>
      <c r="F174" s="114">
        <f t="shared" ref="F174:AM174" si="128">IF(F88=0,0,LOOKUP(F88,$E$48:$I$48,$E$49:$I$49))</f>
        <v>0</v>
      </c>
      <c r="G174" s="114">
        <f t="shared" si="128"/>
        <v>0</v>
      </c>
      <c r="H174" s="114">
        <f t="shared" si="128"/>
        <v>0</v>
      </c>
      <c r="I174" s="114">
        <f t="shared" si="128"/>
        <v>0</v>
      </c>
      <c r="J174" s="114">
        <f t="shared" si="128"/>
        <v>3.6700000000000003E-2</v>
      </c>
      <c r="K174" s="114">
        <f t="shared" si="128"/>
        <v>3.6700000000000003E-2</v>
      </c>
      <c r="L174" s="114">
        <f t="shared" si="128"/>
        <v>3.6700000000000003E-2</v>
      </c>
      <c r="M174" s="114">
        <f t="shared" si="128"/>
        <v>3.6700000000000003E-2</v>
      </c>
      <c r="N174" s="114">
        <f t="shared" si="128"/>
        <v>3.6700000000000003E-2</v>
      </c>
      <c r="O174" s="114">
        <f t="shared" si="128"/>
        <v>3.6700000000000003E-2</v>
      </c>
      <c r="P174" s="114">
        <f t="shared" si="128"/>
        <v>3.6700000000000003E-2</v>
      </c>
      <c r="Q174" s="114">
        <f t="shared" si="128"/>
        <v>3.6700000000000003E-2</v>
      </c>
      <c r="R174" s="114">
        <f t="shared" si="128"/>
        <v>3.6700000000000003E-2</v>
      </c>
      <c r="S174" s="114">
        <f t="shared" si="128"/>
        <v>3.6700000000000003E-2</v>
      </c>
      <c r="T174" s="114">
        <f t="shared" si="128"/>
        <v>3.6700000000000003E-2</v>
      </c>
      <c r="U174" s="114">
        <f t="shared" si="128"/>
        <v>3.6700000000000003E-2</v>
      </c>
      <c r="V174" s="114">
        <f t="shared" si="128"/>
        <v>3.6700000000000003E-2</v>
      </c>
      <c r="W174" s="114">
        <f t="shared" si="128"/>
        <v>3.6700000000000003E-2</v>
      </c>
      <c r="X174" s="114">
        <f t="shared" si="128"/>
        <v>3.6700000000000003E-2</v>
      </c>
      <c r="Y174" s="114">
        <f t="shared" si="128"/>
        <v>3.6700000000000003E-2</v>
      </c>
      <c r="Z174" s="114">
        <f t="shared" si="128"/>
        <v>3.6700000000000003E-2</v>
      </c>
      <c r="AA174" s="114">
        <f t="shared" si="128"/>
        <v>3.6700000000000003E-2</v>
      </c>
      <c r="AB174" s="114">
        <f t="shared" si="128"/>
        <v>3.6700000000000003E-2</v>
      </c>
      <c r="AC174" s="114">
        <f t="shared" si="128"/>
        <v>3.6700000000000003E-2</v>
      </c>
      <c r="AD174" s="114">
        <f t="shared" si="128"/>
        <v>3.6700000000000003E-2</v>
      </c>
      <c r="AE174" s="114">
        <f t="shared" si="128"/>
        <v>3.6700000000000003E-2</v>
      </c>
      <c r="AF174" s="114">
        <f t="shared" si="128"/>
        <v>3.6700000000000003E-2</v>
      </c>
      <c r="AG174" s="114">
        <f t="shared" si="128"/>
        <v>3.6700000000000003E-2</v>
      </c>
      <c r="AH174" s="114">
        <f t="shared" si="128"/>
        <v>3.6700000000000003E-2</v>
      </c>
      <c r="AI174" s="114">
        <f t="shared" si="128"/>
        <v>3.6700000000000003E-2</v>
      </c>
      <c r="AJ174" s="114">
        <f t="shared" si="128"/>
        <v>3.6700000000000003E-2</v>
      </c>
      <c r="AK174" s="114">
        <f t="shared" si="128"/>
        <v>3.6700000000000003E-2</v>
      </c>
      <c r="AL174" s="114">
        <f t="shared" si="128"/>
        <v>3.6700000000000003E-2</v>
      </c>
      <c r="AM174" s="114">
        <f t="shared" si="128"/>
        <v>3.6700000000000003E-2</v>
      </c>
      <c r="AO174" s="44"/>
      <c r="AP174" s="44"/>
      <c r="AQ174" s="44"/>
      <c r="AR174" s="44"/>
      <c r="AS174" s="4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  <c r="BF174" s="44"/>
      <c r="BG174" s="44"/>
      <c r="BH174" s="44"/>
      <c r="BI174" s="44"/>
      <c r="BJ174" s="44"/>
      <c r="BK174" s="44"/>
      <c r="BL174" s="44"/>
      <c r="BM174" s="44"/>
      <c r="BN174" s="44"/>
      <c r="BO174" s="44"/>
      <c r="BP174" s="44"/>
      <c r="BQ174" s="44"/>
      <c r="BR174" s="44"/>
      <c r="BS174" s="44"/>
      <c r="BT174" s="44"/>
      <c r="BU174" s="44"/>
      <c r="BV174" s="44"/>
      <c r="BW174" s="44"/>
      <c r="BX174" s="44"/>
      <c r="BY174" s="44"/>
      <c r="BZ174" s="44"/>
      <c r="CA174" s="44"/>
      <c r="CB174" s="44"/>
    </row>
    <row r="175" spans="1:80" x14ac:dyDescent="0.3">
      <c r="A175" s="47"/>
      <c r="B175" s="47"/>
      <c r="C175" s="2" t="s">
        <v>282</v>
      </c>
      <c r="D175" s="107" t="s">
        <v>144</v>
      </c>
      <c r="E175" s="2"/>
      <c r="F175" s="115">
        <f>SUM(F173:F174)</f>
        <v>0</v>
      </c>
      <c r="G175" s="115">
        <f t="shared" ref="G175:AA175" si="129">SUM(G173:G174)</f>
        <v>0</v>
      </c>
      <c r="H175" s="115">
        <f t="shared" si="129"/>
        <v>0</v>
      </c>
      <c r="I175" s="115">
        <f t="shared" si="129"/>
        <v>0</v>
      </c>
      <c r="J175" s="115">
        <f t="shared" si="129"/>
        <v>7.0000000000000007E-2</v>
      </c>
      <c r="K175" s="115">
        <f t="shared" si="129"/>
        <v>7.0000000000000007E-2</v>
      </c>
      <c r="L175" s="115">
        <f t="shared" si="129"/>
        <v>7.0000000000000007E-2</v>
      </c>
      <c r="M175" s="115">
        <f t="shared" si="129"/>
        <v>7.0000000000000007E-2</v>
      </c>
      <c r="N175" s="115">
        <f t="shared" si="129"/>
        <v>7.0000000000000007E-2</v>
      </c>
      <c r="O175" s="115">
        <f t="shared" si="129"/>
        <v>7.0000000000000007E-2</v>
      </c>
      <c r="P175" s="115">
        <f t="shared" si="129"/>
        <v>7.0000000000000007E-2</v>
      </c>
      <c r="Q175" s="115">
        <f t="shared" si="129"/>
        <v>7.0000000000000007E-2</v>
      </c>
      <c r="R175" s="115">
        <f t="shared" si="129"/>
        <v>7.0000000000000007E-2</v>
      </c>
      <c r="S175" s="115">
        <f t="shared" si="129"/>
        <v>7.0000000000000007E-2</v>
      </c>
      <c r="T175" s="115">
        <f t="shared" si="129"/>
        <v>7.0000000000000007E-2</v>
      </c>
      <c r="U175" s="115">
        <f t="shared" si="129"/>
        <v>7.0000000000000007E-2</v>
      </c>
      <c r="V175" s="115">
        <f t="shared" si="129"/>
        <v>7.0000000000000007E-2</v>
      </c>
      <c r="W175" s="115">
        <f t="shared" si="129"/>
        <v>7.0000000000000007E-2</v>
      </c>
      <c r="X175" s="115">
        <f t="shared" si="129"/>
        <v>7.0000000000000007E-2</v>
      </c>
      <c r="Y175" s="115">
        <f t="shared" si="129"/>
        <v>7.0000000000000007E-2</v>
      </c>
      <c r="Z175" s="115">
        <f t="shared" si="129"/>
        <v>7.0000000000000007E-2</v>
      </c>
      <c r="AA175" s="115">
        <f t="shared" si="129"/>
        <v>7.0000000000000007E-2</v>
      </c>
      <c r="AB175" s="115">
        <f t="shared" ref="AB175:AM175" si="130">SUM(AB173:AB174)</f>
        <v>7.0000000000000007E-2</v>
      </c>
      <c r="AC175" s="115">
        <f t="shared" si="130"/>
        <v>7.0000000000000007E-2</v>
      </c>
      <c r="AD175" s="115">
        <f t="shared" si="130"/>
        <v>7.0000000000000007E-2</v>
      </c>
      <c r="AE175" s="115">
        <f t="shared" si="130"/>
        <v>7.0000000000000007E-2</v>
      </c>
      <c r="AF175" s="115">
        <f t="shared" si="130"/>
        <v>7.0000000000000007E-2</v>
      </c>
      <c r="AG175" s="115">
        <f t="shared" si="130"/>
        <v>7.0000000000000007E-2</v>
      </c>
      <c r="AH175" s="115">
        <f t="shared" si="130"/>
        <v>7.0000000000000007E-2</v>
      </c>
      <c r="AI175" s="115">
        <f t="shared" si="130"/>
        <v>7.0000000000000007E-2</v>
      </c>
      <c r="AJ175" s="115">
        <f t="shared" si="130"/>
        <v>7.0000000000000007E-2</v>
      </c>
      <c r="AK175" s="115">
        <f t="shared" si="130"/>
        <v>7.0000000000000007E-2</v>
      </c>
      <c r="AL175" s="115">
        <f t="shared" si="130"/>
        <v>7.0000000000000007E-2</v>
      </c>
      <c r="AM175" s="115">
        <f t="shared" si="130"/>
        <v>7.0000000000000007E-2</v>
      </c>
    </row>
    <row r="176" spans="1:80" x14ac:dyDescent="0.3">
      <c r="A176" s="47"/>
      <c r="B176" s="47"/>
      <c r="C176" s="2" t="s">
        <v>282</v>
      </c>
      <c r="D176" s="107" t="s">
        <v>169</v>
      </c>
      <c r="E176" s="2"/>
      <c r="F176" s="114">
        <f t="shared" ref="F176:AM176" si="131">(1+F175)^(F86/365)-1</f>
        <v>0</v>
      </c>
      <c r="G176" s="114">
        <f t="shared" si="131"/>
        <v>0</v>
      </c>
      <c r="H176" s="114">
        <f t="shared" si="131"/>
        <v>0</v>
      </c>
      <c r="I176" s="114">
        <f t="shared" si="131"/>
        <v>0</v>
      </c>
      <c r="J176" s="114">
        <f t="shared" si="131"/>
        <v>7.0000000000000062E-2</v>
      </c>
      <c r="K176" s="114">
        <f t="shared" si="131"/>
        <v>7.0198360175480534E-2</v>
      </c>
      <c r="L176" s="114">
        <f t="shared" si="131"/>
        <v>7.0000000000000062E-2</v>
      </c>
      <c r="M176" s="114">
        <f t="shared" si="131"/>
        <v>7.0000000000000062E-2</v>
      </c>
      <c r="N176" s="114">
        <f t="shared" si="131"/>
        <v>7.0000000000000062E-2</v>
      </c>
      <c r="O176" s="114">
        <f t="shared" si="131"/>
        <v>7.0198360175480534E-2</v>
      </c>
      <c r="P176" s="114">
        <f t="shared" si="131"/>
        <v>7.0000000000000062E-2</v>
      </c>
      <c r="Q176" s="114">
        <f t="shared" si="131"/>
        <v>7.0000000000000062E-2</v>
      </c>
      <c r="R176" s="114">
        <f t="shared" si="131"/>
        <v>7.0000000000000062E-2</v>
      </c>
      <c r="S176" s="114">
        <f t="shared" si="131"/>
        <v>7.0198360175480534E-2</v>
      </c>
      <c r="T176" s="114">
        <f t="shared" si="131"/>
        <v>7.0000000000000062E-2</v>
      </c>
      <c r="U176" s="114">
        <f t="shared" si="131"/>
        <v>7.0000000000000062E-2</v>
      </c>
      <c r="V176" s="114">
        <f t="shared" si="131"/>
        <v>7.0000000000000062E-2</v>
      </c>
      <c r="W176" s="114">
        <f t="shared" si="131"/>
        <v>7.0198360175480534E-2</v>
      </c>
      <c r="X176" s="114">
        <f t="shared" si="131"/>
        <v>7.0000000000000062E-2</v>
      </c>
      <c r="Y176" s="114">
        <f t="shared" si="131"/>
        <v>7.0000000000000062E-2</v>
      </c>
      <c r="Z176" s="114">
        <f t="shared" si="131"/>
        <v>7.0000000000000062E-2</v>
      </c>
      <c r="AA176" s="114">
        <f t="shared" si="131"/>
        <v>7.0198360175480534E-2</v>
      </c>
      <c r="AB176" s="114">
        <f t="shared" si="131"/>
        <v>7.0000000000000062E-2</v>
      </c>
      <c r="AC176" s="114">
        <f t="shared" si="131"/>
        <v>7.0000000000000062E-2</v>
      </c>
      <c r="AD176" s="114">
        <f t="shared" si="131"/>
        <v>7.0000000000000062E-2</v>
      </c>
      <c r="AE176" s="114">
        <f t="shared" si="131"/>
        <v>7.0198360175480534E-2</v>
      </c>
      <c r="AF176" s="114">
        <f t="shared" si="131"/>
        <v>7.0000000000000062E-2</v>
      </c>
      <c r="AG176" s="114">
        <f t="shared" si="131"/>
        <v>7.0000000000000062E-2</v>
      </c>
      <c r="AH176" s="114">
        <f t="shared" si="131"/>
        <v>7.0000000000000062E-2</v>
      </c>
      <c r="AI176" s="114">
        <f t="shared" si="131"/>
        <v>7.0198360175480534E-2</v>
      </c>
      <c r="AJ176" s="114">
        <f t="shared" si="131"/>
        <v>7.0000000000000062E-2</v>
      </c>
      <c r="AK176" s="114">
        <f t="shared" si="131"/>
        <v>7.0000000000000062E-2</v>
      </c>
      <c r="AL176" s="114">
        <f t="shared" si="131"/>
        <v>7.0000000000000062E-2</v>
      </c>
      <c r="AM176" s="114">
        <f t="shared" si="131"/>
        <v>7.0198360175480534E-2</v>
      </c>
    </row>
    <row r="177" spans="1:39" x14ac:dyDescent="0.3">
      <c r="A177" s="47"/>
      <c r="B177" s="47"/>
      <c r="C177" s="2"/>
      <c r="D177" s="107"/>
      <c r="E177" s="2"/>
      <c r="F177" s="287"/>
      <c r="G177" s="287"/>
      <c r="H177" s="287"/>
      <c r="I177" s="287"/>
      <c r="J177" s="287"/>
      <c r="K177" s="287"/>
      <c r="L177" s="287"/>
      <c r="M177" s="287"/>
      <c r="N177" s="287"/>
      <c r="O177" s="287"/>
      <c r="P177" s="287"/>
      <c r="Q177" s="287"/>
      <c r="R177" s="287"/>
      <c r="S177" s="287"/>
      <c r="T177" s="287"/>
      <c r="U177" s="287"/>
      <c r="V177" s="287"/>
      <c r="W177" s="287"/>
      <c r="X177" s="287"/>
      <c r="Y177" s="287"/>
      <c r="Z177" s="287"/>
      <c r="AA177" s="287"/>
      <c r="AB177" s="287"/>
      <c r="AC177" s="287"/>
      <c r="AD177" s="287"/>
      <c r="AE177" s="287"/>
      <c r="AF177" s="287"/>
      <c r="AG177" s="287"/>
      <c r="AH177" s="287"/>
      <c r="AI177" s="287"/>
      <c r="AJ177" s="287"/>
      <c r="AK177" s="287"/>
      <c r="AL177" s="287"/>
      <c r="AM177" s="287"/>
    </row>
    <row r="178" spans="1:39" s="368" customFormat="1" x14ac:dyDescent="0.3">
      <c r="A178" s="365"/>
      <c r="B178" s="365"/>
      <c r="C178" s="376" t="s">
        <v>149</v>
      </c>
      <c r="D178" s="366" t="s">
        <v>144</v>
      </c>
      <c r="E178" s="376"/>
      <c r="F178" s="386">
        <f t="shared" ref="F178:AM178" si="132">LOOKUP(F87,$E$64:$AL$64,$E$66:$AL$66)*F79</f>
        <v>0</v>
      </c>
      <c r="G178" s="386">
        <f t="shared" si="132"/>
        <v>0</v>
      </c>
      <c r="H178" s="386">
        <f t="shared" si="132"/>
        <v>0</v>
      </c>
      <c r="I178" s="386">
        <f t="shared" si="132"/>
        <v>0</v>
      </c>
      <c r="J178" s="386">
        <f t="shared" si="132"/>
        <v>3.3300000000000003E-2</v>
      </c>
      <c r="K178" s="386">
        <f t="shared" si="132"/>
        <v>3.3300000000000003E-2</v>
      </c>
      <c r="L178" s="386">
        <f t="shared" si="132"/>
        <v>3.3300000000000003E-2</v>
      </c>
      <c r="M178" s="386">
        <f t="shared" si="132"/>
        <v>3.3300000000000003E-2</v>
      </c>
      <c r="N178" s="386">
        <f t="shared" si="132"/>
        <v>3.3300000000000003E-2</v>
      </c>
      <c r="O178" s="386">
        <f t="shared" si="132"/>
        <v>3.3300000000000003E-2</v>
      </c>
      <c r="P178" s="386">
        <f t="shared" si="132"/>
        <v>3.3300000000000003E-2</v>
      </c>
      <c r="Q178" s="386">
        <f t="shared" si="132"/>
        <v>3.3300000000000003E-2</v>
      </c>
      <c r="R178" s="386">
        <f t="shared" si="132"/>
        <v>3.3300000000000003E-2</v>
      </c>
      <c r="S178" s="386">
        <f t="shared" si="132"/>
        <v>3.3300000000000003E-2</v>
      </c>
      <c r="T178" s="386">
        <f t="shared" si="132"/>
        <v>3.3300000000000003E-2</v>
      </c>
      <c r="U178" s="386">
        <f t="shared" si="132"/>
        <v>3.3300000000000003E-2</v>
      </c>
      <c r="V178" s="386">
        <f t="shared" si="132"/>
        <v>3.3300000000000003E-2</v>
      </c>
      <c r="W178" s="386">
        <f t="shared" si="132"/>
        <v>3.3300000000000003E-2</v>
      </c>
      <c r="X178" s="386">
        <f t="shared" si="132"/>
        <v>3.3300000000000003E-2</v>
      </c>
      <c r="Y178" s="386">
        <f t="shared" si="132"/>
        <v>3.3300000000000003E-2</v>
      </c>
      <c r="Z178" s="386">
        <f t="shared" si="132"/>
        <v>3.3300000000000003E-2</v>
      </c>
      <c r="AA178" s="386">
        <f t="shared" si="132"/>
        <v>3.3300000000000003E-2</v>
      </c>
      <c r="AB178" s="386">
        <f t="shared" si="132"/>
        <v>3.3300000000000003E-2</v>
      </c>
      <c r="AC178" s="386">
        <f t="shared" si="132"/>
        <v>3.3300000000000003E-2</v>
      </c>
      <c r="AD178" s="386">
        <f t="shared" si="132"/>
        <v>3.3300000000000003E-2</v>
      </c>
      <c r="AE178" s="386">
        <f t="shared" si="132"/>
        <v>3.3300000000000003E-2</v>
      </c>
      <c r="AF178" s="386">
        <f t="shared" si="132"/>
        <v>3.3300000000000003E-2</v>
      </c>
      <c r="AG178" s="386">
        <f t="shared" si="132"/>
        <v>3.3300000000000003E-2</v>
      </c>
      <c r="AH178" s="386">
        <f t="shared" si="132"/>
        <v>3.3300000000000003E-2</v>
      </c>
      <c r="AI178" s="386">
        <f t="shared" si="132"/>
        <v>3.3300000000000003E-2</v>
      </c>
      <c r="AJ178" s="386">
        <f t="shared" si="132"/>
        <v>3.3300000000000003E-2</v>
      </c>
      <c r="AK178" s="386">
        <f t="shared" si="132"/>
        <v>3.3300000000000003E-2</v>
      </c>
      <c r="AL178" s="386">
        <f t="shared" si="132"/>
        <v>3.3300000000000003E-2</v>
      </c>
      <c r="AM178" s="386">
        <f t="shared" si="132"/>
        <v>3.3300000000000003E-2</v>
      </c>
    </row>
    <row r="179" spans="1:39" s="368" customFormat="1" x14ac:dyDescent="0.3">
      <c r="A179" s="365"/>
      <c r="B179" s="365"/>
      <c r="C179" s="376" t="s">
        <v>283</v>
      </c>
      <c r="D179" s="366" t="s">
        <v>144</v>
      </c>
      <c r="E179" s="376"/>
      <c r="F179" s="386">
        <f t="shared" ref="F179:I179" si="133">IF(F88=0,0,LOOKUP(F88,$E$48:$I$48,$E$49:$I$49))</f>
        <v>0</v>
      </c>
      <c r="G179" s="386">
        <f t="shared" si="133"/>
        <v>0</v>
      </c>
      <c r="H179" s="386">
        <f t="shared" si="133"/>
        <v>0</v>
      </c>
      <c r="I179" s="386">
        <f t="shared" si="133"/>
        <v>0</v>
      </c>
      <c r="J179" s="386">
        <f>IF(J88=0,0,LOOKUP(J88,$E$48:$I$48,$E$50:$I$50))</f>
        <v>3.6700000000000003E-2</v>
      </c>
      <c r="K179" s="386">
        <f t="shared" ref="K179:AM179" si="134">IF(K88=0,0,LOOKUP(K88,$E$48:$I$48,$E$50:$I$50))</f>
        <v>3.6700000000000003E-2</v>
      </c>
      <c r="L179" s="386">
        <f t="shared" si="134"/>
        <v>3.6700000000000003E-2</v>
      </c>
      <c r="M179" s="386">
        <f t="shared" si="134"/>
        <v>3.6700000000000003E-2</v>
      </c>
      <c r="N179" s="386">
        <f t="shared" si="134"/>
        <v>3.6700000000000003E-2</v>
      </c>
      <c r="O179" s="386">
        <f t="shared" si="134"/>
        <v>3.6700000000000003E-2</v>
      </c>
      <c r="P179" s="386">
        <f t="shared" si="134"/>
        <v>3.6700000000000003E-2</v>
      </c>
      <c r="Q179" s="386">
        <f t="shared" si="134"/>
        <v>3.6700000000000003E-2</v>
      </c>
      <c r="R179" s="386">
        <f t="shared" si="134"/>
        <v>3.6700000000000003E-2</v>
      </c>
      <c r="S179" s="386">
        <f t="shared" si="134"/>
        <v>3.6700000000000003E-2</v>
      </c>
      <c r="T179" s="386">
        <f t="shared" si="134"/>
        <v>3.6700000000000003E-2</v>
      </c>
      <c r="U179" s="386">
        <f t="shared" si="134"/>
        <v>3.6700000000000003E-2</v>
      </c>
      <c r="V179" s="386">
        <f t="shared" si="134"/>
        <v>3.6700000000000003E-2</v>
      </c>
      <c r="W179" s="386">
        <f t="shared" si="134"/>
        <v>3.6700000000000003E-2</v>
      </c>
      <c r="X179" s="386">
        <f t="shared" si="134"/>
        <v>3.6700000000000003E-2</v>
      </c>
      <c r="Y179" s="386">
        <f t="shared" si="134"/>
        <v>3.6700000000000003E-2</v>
      </c>
      <c r="Z179" s="386">
        <f t="shared" si="134"/>
        <v>3.6700000000000003E-2</v>
      </c>
      <c r="AA179" s="386">
        <f t="shared" si="134"/>
        <v>3.6700000000000003E-2</v>
      </c>
      <c r="AB179" s="386">
        <f t="shared" si="134"/>
        <v>3.6700000000000003E-2</v>
      </c>
      <c r="AC179" s="386">
        <f t="shared" si="134"/>
        <v>3.6700000000000003E-2</v>
      </c>
      <c r="AD179" s="386">
        <f t="shared" si="134"/>
        <v>3.6700000000000003E-2</v>
      </c>
      <c r="AE179" s="386">
        <f t="shared" si="134"/>
        <v>3.6700000000000003E-2</v>
      </c>
      <c r="AF179" s="386">
        <f t="shared" si="134"/>
        <v>3.6700000000000003E-2</v>
      </c>
      <c r="AG179" s="386">
        <f t="shared" si="134"/>
        <v>3.6700000000000003E-2</v>
      </c>
      <c r="AH179" s="386">
        <f t="shared" si="134"/>
        <v>3.6700000000000003E-2</v>
      </c>
      <c r="AI179" s="386">
        <f t="shared" si="134"/>
        <v>3.6700000000000003E-2</v>
      </c>
      <c r="AJ179" s="386">
        <f t="shared" si="134"/>
        <v>3.6700000000000003E-2</v>
      </c>
      <c r="AK179" s="386">
        <f t="shared" si="134"/>
        <v>3.6700000000000003E-2</v>
      </c>
      <c r="AL179" s="386">
        <f t="shared" si="134"/>
        <v>3.6700000000000003E-2</v>
      </c>
      <c r="AM179" s="386">
        <f t="shared" si="134"/>
        <v>3.6700000000000003E-2</v>
      </c>
    </row>
    <row r="180" spans="1:39" s="368" customFormat="1" x14ac:dyDescent="0.3">
      <c r="A180" s="365"/>
      <c r="B180" s="365"/>
      <c r="C180" s="376" t="s">
        <v>284</v>
      </c>
      <c r="D180" s="366" t="s">
        <v>144</v>
      </c>
      <c r="E180" s="376"/>
      <c r="F180" s="390">
        <f>SUM(F178:F179)</f>
        <v>0</v>
      </c>
      <c r="G180" s="390">
        <f t="shared" ref="G180:AM180" si="135">SUM(G178:G179)</f>
        <v>0</v>
      </c>
      <c r="H180" s="390">
        <f t="shared" si="135"/>
        <v>0</v>
      </c>
      <c r="I180" s="390">
        <f t="shared" si="135"/>
        <v>0</v>
      </c>
      <c r="J180" s="390">
        <f t="shared" si="135"/>
        <v>7.0000000000000007E-2</v>
      </c>
      <c r="K180" s="390">
        <f t="shared" si="135"/>
        <v>7.0000000000000007E-2</v>
      </c>
      <c r="L180" s="390">
        <f t="shared" si="135"/>
        <v>7.0000000000000007E-2</v>
      </c>
      <c r="M180" s="390">
        <f t="shared" si="135"/>
        <v>7.0000000000000007E-2</v>
      </c>
      <c r="N180" s="390">
        <f t="shared" si="135"/>
        <v>7.0000000000000007E-2</v>
      </c>
      <c r="O180" s="390">
        <f t="shared" si="135"/>
        <v>7.0000000000000007E-2</v>
      </c>
      <c r="P180" s="390">
        <f t="shared" si="135"/>
        <v>7.0000000000000007E-2</v>
      </c>
      <c r="Q180" s="390">
        <f t="shared" si="135"/>
        <v>7.0000000000000007E-2</v>
      </c>
      <c r="R180" s="390">
        <f t="shared" si="135"/>
        <v>7.0000000000000007E-2</v>
      </c>
      <c r="S180" s="390">
        <f t="shared" si="135"/>
        <v>7.0000000000000007E-2</v>
      </c>
      <c r="T180" s="390">
        <f t="shared" si="135"/>
        <v>7.0000000000000007E-2</v>
      </c>
      <c r="U180" s="390">
        <f t="shared" si="135"/>
        <v>7.0000000000000007E-2</v>
      </c>
      <c r="V180" s="390">
        <f t="shared" si="135"/>
        <v>7.0000000000000007E-2</v>
      </c>
      <c r="W180" s="390">
        <f t="shared" si="135"/>
        <v>7.0000000000000007E-2</v>
      </c>
      <c r="X180" s="390">
        <f t="shared" si="135"/>
        <v>7.0000000000000007E-2</v>
      </c>
      <c r="Y180" s="390">
        <f t="shared" si="135"/>
        <v>7.0000000000000007E-2</v>
      </c>
      <c r="Z180" s="390">
        <f t="shared" si="135"/>
        <v>7.0000000000000007E-2</v>
      </c>
      <c r="AA180" s="390">
        <f t="shared" si="135"/>
        <v>7.0000000000000007E-2</v>
      </c>
      <c r="AB180" s="390">
        <f t="shared" si="135"/>
        <v>7.0000000000000007E-2</v>
      </c>
      <c r="AC180" s="390">
        <f t="shared" si="135"/>
        <v>7.0000000000000007E-2</v>
      </c>
      <c r="AD180" s="390">
        <f t="shared" si="135"/>
        <v>7.0000000000000007E-2</v>
      </c>
      <c r="AE180" s="390">
        <f t="shared" si="135"/>
        <v>7.0000000000000007E-2</v>
      </c>
      <c r="AF180" s="390">
        <f t="shared" si="135"/>
        <v>7.0000000000000007E-2</v>
      </c>
      <c r="AG180" s="390">
        <f t="shared" si="135"/>
        <v>7.0000000000000007E-2</v>
      </c>
      <c r="AH180" s="390">
        <f t="shared" si="135"/>
        <v>7.0000000000000007E-2</v>
      </c>
      <c r="AI180" s="390">
        <f t="shared" si="135"/>
        <v>7.0000000000000007E-2</v>
      </c>
      <c r="AJ180" s="390">
        <f t="shared" si="135"/>
        <v>7.0000000000000007E-2</v>
      </c>
      <c r="AK180" s="390">
        <f t="shared" si="135"/>
        <v>7.0000000000000007E-2</v>
      </c>
      <c r="AL180" s="390">
        <f t="shared" si="135"/>
        <v>7.0000000000000007E-2</v>
      </c>
      <c r="AM180" s="390">
        <f t="shared" si="135"/>
        <v>7.0000000000000007E-2</v>
      </c>
    </row>
    <row r="181" spans="1:39" s="368" customFormat="1" x14ac:dyDescent="0.3">
      <c r="A181" s="365"/>
      <c r="B181" s="365"/>
      <c r="C181" s="376" t="s">
        <v>284</v>
      </c>
      <c r="D181" s="366" t="s">
        <v>169</v>
      </c>
      <c r="E181" s="376"/>
      <c r="F181" s="386">
        <f t="shared" ref="F181:AM181" si="136">(1+F180)^(F86/365)-1</f>
        <v>0</v>
      </c>
      <c r="G181" s="386">
        <f t="shared" si="136"/>
        <v>0</v>
      </c>
      <c r="H181" s="386">
        <f t="shared" si="136"/>
        <v>0</v>
      </c>
      <c r="I181" s="386">
        <f t="shared" si="136"/>
        <v>0</v>
      </c>
      <c r="J181" s="386">
        <f t="shared" si="136"/>
        <v>7.0000000000000062E-2</v>
      </c>
      <c r="K181" s="386">
        <f t="shared" si="136"/>
        <v>7.0198360175480534E-2</v>
      </c>
      <c r="L181" s="386">
        <f t="shared" si="136"/>
        <v>7.0000000000000062E-2</v>
      </c>
      <c r="M181" s="386">
        <f t="shared" si="136"/>
        <v>7.0000000000000062E-2</v>
      </c>
      <c r="N181" s="386">
        <f t="shared" si="136"/>
        <v>7.0000000000000062E-2</v>
      </c>
      <c r="O181" s="386">
        <f t="shared" si="136"/>
        <v>7.0198360175480534E-2</v>
      </c>
      <c r="P181" s="386">
        <f t="shared" si="136"/>
        <v>7.0000000000000062E-2</v>
      </c>
      <c r="Q181" s="386">
        <f t="shared" si="136"/>
        <v>7.0000000000000062E-2</v>
      </c>
      <c r="R181" s="386">
        <f t="shared" si="136"/>
        <v>7.0000000000000062E-2</v>
      </c>
      <c r="S181" s="386">
        <f t="shared" si="136"/>
        <v>7.0198360175480534E-2</v>
      </c>
      <c r="T181" s="386">
        <f t="shared" si="136"/>
        <v>7.0000000000000062E-2</v>
      </c>
      <c r="U181" s="386">
        <f t="shared" si="136"/>
        <v>7.0000000000000062E-2</v>
      </c>
      <c r="V181" s="386">
        <f t="shared" si="136"/>
        <v>7.0000000000000062E-2</v>
      </c>
      <c r="W181" s="386">
        <f t="shared" si="136"/>
        <v>7.0198360175480534E-2</v>
      </c>
      <c r="X181" s="386">
        <f t="shared" si="136"/>
        <v>7.0000000000000062E-2</v>
      </c>
      <c r="Y181" s="386">
        <f t="shared" si="136"/>
        <v>7.0000000000000062E-2</v>
      </c>
      <c r="Z181" s="386">
        <f t="shared" si="136"/>
        <v>7.0000000000000062E-2</v>
      </c>
      <c r="AA181" s="386">
        <f t="shared" si="136"/>
        <v>7.0198360175480534E-2</v>
      </c>
      <c r="AB181" s="386">
        <f t="shared" si="136"/>
        <v>7.0000000000000062E-2</v>
      </c>
      <c r="AC181" s="386">
        <f t="shared" si="136"/>
        <v>7.0000000000000062E-2</v>
      </c>
      <c r="AD181" s="386">
        <f t="shared" si="136"/>
        <v>7.0000000000000062E-2</v>
      </c>
      <c r="AE181" s="386">
        <f t="shared" si="136"/>
        <v>7.0198360175480534E-2</v>
      </c>
      <c r="AF181" s="386">
        <f t="shared" si="136"/>
        <v>7.0000000000000062E-2</v>
      </c>
      <c r="AG181" s="386">
        <f t="shared" si="136"/>
        <v>7.0000000000000062E-2</v>
      </c>
      <c r="AH181" s="386">
        <f t="shared" si="136"/>
        <v>7.0000000000000062E-2</v>
      </c>
      <c r="AI181" s="386">
        <f t="shared" si="136"/>
        <v>7.0198360175480534E-2</v>
      </c>
      <c r="AJ181" s="386">
        <f t="shared" si="136"/>
        <v>7.0000000000000062E-2</v>
      </c>
      <c r="AK181" s="386">
        <f t="shared" si="136"/>
        <v>7.0000000000000062E-2</v>
      </c>
      <c r="AL181" s="386">
        <f t="shared" si="136"/>
        <v>7.0000000000000062E-2</v>
      </c>
      <c r="AM181" s="386">
        <f t="shared" si="136"/>
        <v>7.0198360175480534E-2</v>
      </c>
    </row>
    <row r="182" spans="1:39" x14ac:dyDescent="0.3">
      <c r="A182" s="47"/>
      <c r="B182" s="47"/>
      <c r="C182" s="2"/>
      <c r="D182" s="107"/>
      <c r="E182" s="2"/>
      <c r="F182" s="287"/>
      <c r="G182" s="287"/>
      <c r="H182" s="287"/>
      <c r="I182" s="287"/>
      <c r="J182" s="287"/>
      <c r="K182" s="287"/>
      <c r="L182" s="287"/>
      <c r="M182" s="287"/>
      <c r="N182" s="287"/>
      <c r="O182" s="287"/>
      <c r="P182" s="287"/>
      <c r="Q182" s="287"/>
      <c r="R182" s="287"/>
      <c r="S182" s="287"/>
      <c r="T182" s="287"/>
      <c r="U182" s="287"/>
      <c r="V182" s="287"/>
      <c r="W182" s="287"/>
      <c r="X182" s="287"/>
      <c r="Y182" s="287"/>
      <c r="Z182" s="287"/>
      <c r="AA182" s="287"/>
      <c r="AB182" s="287"/>
      <c r="AC182" s="287"/>
      <c r="AD182" s="287"/>
      <c r="AE182" s="287"/>
      <c r="AF182" s="287"/>
      <c r="AG182" s="287"/>
      <c r="AH182" s="287"/>
      <c r="AI182" s="287"/>
      <c r="AJ182" s="287"/>
      <c r="AK182" s="287"/>
      <c r="AL182" s="287"/>
      <c r="AM182" s="287"/>
    </row>
    <row r="183" spans="1:39" s="182" customFormat="1" x14ac:dyDescent="0.3">
      <c r="A183" s="179"/>
      <c r="B183" s="179"/>
      <c r="C183" s="178" t="s">
        <v>275</v>
      </c>
      <c r="D183" s="180" t="s">
        <v>214</v>
      </c>
      <c r="E183" s="183">
        <f>SUM(F183:AM183)</f>
        <v>114.0050195774545</v>
      </c>
      <c r="F183" s="300">
        <f t="shared" ref="F183:AM183" si="137">F176*F163</f>
        <v>0</v>
      </c>
      <c r="G183" s="300">
        <f t="shared" si="137"/>
        <v>0</v>
      </c>
      <c r="H183" s="300">
        <f t="shared" si="137"/>
        <v>0</v>
      </c>
      <c r="I183" s="300">
        <f t="shared" si="137"/>
        <v>0</v>
      </c>
      <c r="J183" s="300">
        <f t="shared" si="137"/>
        <v>11.493946377176057</v>
      </c>
      <c r="K183" s="300">
        <f t="shared" si="137"/>
        <v>11.1132031811593</v>
      </c>
      <c r="L183" s="300">
        <f t="shared" si="137"/>
        <v>10.641477749416813</v>
      </c>
      <c r="M183" s="300">
        <f t="shared" si="137"/>
        <v>10.169582071794501</v>
      </c>
      <c r="N183" s="300">
        <f t="shared" si="137"/>
        <v>9.664653696738629</v>
      </c>
      <c r="O183" s="300">
        <f t="shared" si="137"/>
        <v>9.1502362452072195</v>
      </c>
      <c r="P183" s="300">
        <f t="shared" si="137"/>
        <v>8.5468952461477148</v>
      </c>
      <c r="Q183" s="300">
        <f t="shared" si="137"/>
        <v>7.9282923121591562</v>
      </c>
      <c r="R183" s="300">
        <f t="shared" si="137"/>
        <v>7.2663871727913998</v>
      </c>
      <c r="S183" s="300">
        <f t="shared" si="137"/>
        <v>6.5767326096926988</v>
      </c>
      <c r="T183" s="300">
        <f t="shared" si="137"/>
        <v>5.8007926844622597</v>
      </c>
      <c r="U183" s="300">
        <f t="shared" si="137"/>
        <v>4.989866231905598</v>
      </c>
      <c r="V183" s="300">
        <f t="shared" si="137"/>
        <v>4.1221749276699704</v>
      </c>
      <c r="W183" s="300">
        <f t="shared" si="137"/>
        <v>3.2027954016333751</v>
      </c>
      <c r="X183" s="300">
        <f t="shared" si="137"/>
        <v>2.2005178967721553</v>
      </c>
      <c r="Y183" s="300">
        <f t="shared" si="137"/>
        <v>1.1374657727276356</v>
      </c>
      <c r="Z183" s="300">
        <f t="shared" si="137"/>
        <v>0</v>
      </c>
      <c r="AA183" s="300">
        <f t="shared" si="137"/>
        <v>0</v>
      </c>
      <c r="AB183" s="300">
        <f t="shared" si="137"/>
        <v>0</v>
      </c>
      <c r="AC183" s="300">
        <f t="shared" si="137"/>
        <v>0</v>
      </c>
      <c r="AD183" s="300">
        <f t="shared" si="137"/>
        <v>0</v>
      </c>
      <c r="AE183" s="300">
        <f t="shared" si="137"/>
        <v>0</v>
      </c>
      <c r="AF183" s="300">
        <f t="shared" si="137"/>
        <v>0</v>
      </c>
      <c r="AG183" s="300">
        <f t="shared" si="137"/>
        <v>0</v>
      </c>
      <c r="AH183" s="300">
        <f t="shared" si="137"/>
        <v>0</v>
      </c>
      <c r="AI183" s="300">
        <f t="shared" si="137"/>
        <v>0</v>
      </c>
      <c r="AJ183" s="300">
        <f t="shared" si="137"/>
        <v>0</v>
      </c>
      <c r="AK183" s="300">
        <f t="shared" si="137"/>
        <v>0</v>
      </c>
      <c r="AL183" s="300">
        <f t="shared" si="137"/>
        <v>0</v>
      </c>
      <c r="AM183" s="300">
        <f t="shared" si="137"/>
        <v>0</v>
      </c>
    </row>
    <row r="184" spans="1:39" s="368" customFormat="1" x14ac:dyDescent="0.3">
      <c r="A184" s="365"/>
      <c r="B184" s="365"/>
      <c r="C184" s="364" t="s">
        <v>276</v>
      </c>
      <c r="D184" s="370" t="s">
        <v>214</v>
      </c>
      <c r="E184" s="380">
        <f>SUM(F184:AM184)</f>
        <v>90211544.523195148</v>
      </c>
      <c r="F184" s="385">
        <f>F181*F168</f>
        <v>0</v>
      </c>
      <c r="G184" s="385">
        <f t="shared" ref="G184:AM184" si="138">G181*G168</f>
        <v>0</v>
      </c>
      <c r="H184" s="385">
        <f t="shared" si="138"/>
        <v>0</v>
      </c>
      <c r="I184" s="385">
        <f t="shared" si="138"/>
        <v>0</v>
      </c>
      <c r="J184" s="385">
        <f t="shared" si="138"/>
        <v>11359216.849373603</v>
      </c>
      <c r="K184" s="385">
        <f t="shared" si="138"/>
        <v>10825812.700779062</v>
      </c>
      <c r="L184" s="385">
        <f t="shared" si="138"/>
        <v>10192451.883767067</v>
      </c>
      <c r="M184" s="385">
        <f t="shared" si="138"/>
        <v>9546689.679719232</v>
      </c>
      <c r="N184" s="385">
        <f t="shared" si="138"/>
        <v>8855724.1213880479</v>
      </c>
      <c r="O184" s="385">
        <f t="shared" si="138"/>
        <v>8139390.5273717605</v>
      </c>
      <c r="P184" s="385">
        <f t="shared" si="138"/>
        <v>7325869.4484354807</v>
      </c>
      <c r="Q184" s="385">
        <f t="shared" si="138"/>
        <v>6479341.6470712153</v>
      </c>
      <c r="R184" s="385">
        <f t="shared" si="138"/>
        <v>5573556.8996114517</v>
      </c>
      <c r="S184" s="385">
        <f t="shared" si="138"/>
        <v>4617414.6925395308</v>
      </c>
      <c r="T184" s="385">
        <f t="shared" si="138"/>
        <v>3567638.8226890233</v>
      </c>
      <c r="U184" s="385">
        <f t="shared" si="138"/>
        <v>2457918.8243410112</v>
      </c>
      <c r="V184" s="385">
        <f t="shared" si="138"/>
        <v>1270518.4261086383</v>
      </c>
      <c r="W184" s="385">
        <f t="shared" si="138"/>
        <v>0</v>
      </c>
      <c r="X184" s="385">
        <f t="shared" si="138"/>
        <v>0</v>
      </c>
      <c r="Y184" s="385">
        <f t="shared" si="138"/>
        <v>0</v>
      </c>
      <c r="Z184" s="385">
        <f t="shared" si="138"/>
        <v>0</v>
      </c>
      <c r="AA184" s="385">
        <f t="shared" si="138"/>
        <v>0</v>
      </c>
      <c r="AB184" s="385">
        <f t="shared" si="138"/>
        <v>0</v>
      </c>
      <c r="AC184" s="385">
        <f t="shared" si="138"/>
        <v>0</v>
      </c>
      <c r="AD184" s="385">
        <f t="shared" si="138"/>
        <v>0</v>
      </c>
      <c r="AE184" s="385">
        <f t="shared" si="138"/>
        <v>0</v>
      </c>
      <c r="AF184" s="385">
        <f t="shared" si="138"/>
        <v>0</v>
      </c>
      <c r="AG184" s="385">
        <f t="shared" si="138"/>
        <v>0</v>
      </c>
      <c r="AH184" s="385">
        <f t="shared" si="138"/>
        <v>0</v>
      </c>
      <c r="AI184" s="385">
        <f t="shared" si="138"/>
        <v>0</v>
      </c>
      <c r="AJ184" s="385">
        <f t="shared" si="138"/>
        <v>0</v>
      </c>
      <c r="AK184" s="385">
        <f t="shared" si="138"/>
        <v>0</v>
      </c>
      <c r="AL184" s="385">
        <f t="shared" si="138"/>
        <v>0</v>
      </c>
      <c r="AM184" s="385">
        <f t="shared" si="138"/>
        <v>0</v>
      </c>
    </row>
    <row r="185" spans="1:39" x14ac:dyDescent="0.3">
      <c r="A185" s="47"/>
      <c r="B185" s="47"/>
      <c r="C185" s="2"/>
      <c r="D185" s="107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</row>
    <row r="186" spans="1:39" ht="21.6" x14ac:dyDescent="0.4">
      <c r="A186" s="47"/>
      <c r="B186" s="47"/>
      <c r="C186" s="106" t="s">
        <v>230</v>
      </c>
      <c r="D186" s="107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</row>
    <row r="187" spans="1:39" x14ac:dyDescent="0.3">
      <c r="A187" s="47"/>
      <c r="B187" s="47"/>
      <c r="C187" s="2"/>
      <c r="D187" s="107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</row>
    <row r="188" spans="1:39" x14ac:dyDescent="0.3">
      <c r="A188" s="47"/>
      <c r="B188" s="47"/>
      <c r="C188" s="376" t="s">
        <v>306</v>
      </c>
      <c r="D188" s="400">
        <f>SUM(F188:AM188)</f>
        <v>16</v>
      </c>
      <c r="E188" s="401"/>
      <c r="F188" s="402">
        <f>F97</f>
        <v>0</v>
      </c>
      <c r="G188" s="402">
        <f>G97</f>
        <v>1</v>
      </c>
      <c r="H188" s="402">
        <f t="shared" ref="H188:AM188" si="139">H97</f>
        <v>1</v>
      </c>
      <c r="I188" s="402">
        <f t="shared" si="139"/>
        <v>1</v>
      </c>
      <c r="J188" s="402">
        <f t="shared" si="139"/>
        <v>1</v>
      </c>
      <c r="K188" s="402">
        <f t="shared" si="139"/>
        <v>1</v>
      </c>
      <c r="L188" s="402">
        <f t="shared" si="139"/>
        <v>1</v>
      </c>
      <c r="M188" s="402">
        <f t="shared" si="139"/>
        <v>1</v>
      </c>
      <c r="N188" s="402">
        <f t="shared" si="139"/>
        <v>1</v>
      </c>
      <c r="O188" s="402">
        <f t="shared" si="139"/>
        <v>1</v>
      </c>
      <c r="P188" s="402">
        <f t="shared" si="139"/>
        <v>1</v>
      </c>
      <c r="Q188" s="402">
        <f t="shared" si="139"/>
        <v>1</v>
      </c>
      <c r="R188" s="402">
        <f t="shared" si="139"/>
        <v>1</v>
      </c>
      <c r="S188" s="402">
        <f t="shared" si="139"/>
        <v>1</v>
      </c>
      <c r="T188" s="402">
        <f t="shared" si="139"/>
        <v>1</v>
      </c>
      <c r="U188" s="402">
        <f t="shared" si="139"/>
        <v>1</v>
      </c>
      <c r="V188" s="402">
        <f t="shared" si="139"/>
        <v>1</v>
      </c>
      <c r="W188" s="402">
        <f t="shared" si="139"/>
        <v>0</v>
      </c>
      <c r="X188" s="402">
        <f t="shared" si="139"/>
        <v>0</v>
      </c>
      <c r="Y188" s="402">
        <f t="shared" si="139"/>
        <v>0</v>
      </c>
      <c r="Z188" s="402">
        <f t="shared" si="139"/>
        <v>0</v>
      </c>
      <c r="AA188" s="402">
        <f t="shared" si="139"/>
        <v>0</v>
      </c>
      <c r="AB188" s="402">
        <f t="shared" si="139"/>
        <v>0</v>
      </c>
      <c r="AC188" s="402">
        <f t="shared" si="139"/>
        <v>0</v>
      </c>
      <c r="AD188" s="402">
        <f t="shared" si="139"/>
        <v>0</v>
      </c>
      <c r="AE188" s="402">
        <f t="shared" si="139"/>
        <v>0</v>
      </c>
      <c r="AF188" s="402">
        <f t="shared" si="139"/>
        <v>0</v>
      </c>
      <c r="AG188" s="402">
        <f t="shared" si="139"/>
        <v>0</v>
      </c>
      <c r="AH188" s="402">
        <f t="shared" si="139"/>
        <v>0</v>
      </c>
      <c r="AI188" s="402">
        <f t="shared" si="139"/>
        <v>0</v>
      </c>
      <c r="AJ188" s="402">
        <f t="shared" si="139"/>
        <v>0</v>
      </c>
      <c r="AK188" s="402">
        <f t="shared" si="139"/>
        <v>0</v>
      </c>
      <c r="AL188" s="402">
        <f t="shared" si="139"/>
        <v>0</v>
      </c>
      <c r="AM188" s="403">
        <f t="shared" si="139"/>
        <v>0</v>
      </c>
    </row>
    <row r="189" spans="1:39" x14ac:dyDescent="0.3">
      <c r="A189" s="47"/>
      <c r="B189" s="47"/>
      <c r="C189" s="2" t="s">
        <v>175</v>
      </c>
      <c r="D189" s="107" t="s">
        <v>127</v>
      </c>
      <c r="F189" s="171">
        <f>IF(F188=0,0,$D188-SUM($E188:E188))</f>
        <v>0</v>
      </c>
      <c r="G189" s="171">
        <f>IF(G188=0,0,$D188-SUM($E188:F188))</f>
        <v>16</v>
      </c>
      <c r="H189" s="171">
        <f>IF(H188=0,0,$D188-SUM($E188:G188))</f>
        <v>15</v>
      </c>
      <c r="I189" s="171">
        <f>IF(I188=0,0,$D188-SUM($E188:H188))</f>
        <v>14</v>
      </c>
      <c r="J189" s="171">
        <f>IF(J188=0,0,$D188-SUM($E188:I188))</f>
        <v>13</v>
      </c>
      <c r="K189" s="171">
        <f>IF(K188=0,0,$D188-SUM($E188:J188))</f>
        <v>12</v>
      </c>
      <c r="L189" s="171">
        <f>IF(L188=0,0,$D188-SUM($E188:K188))</f>
        <v>11</v>
      </c>
      <c r="M189" s="171">
        <f>IF(M188=0,0,$D188-SUM($E188:L188))</f>
        <v>10</v>
      </c>
      <c r="N189" s="171">
        <f>IF(N188=0,0,$D188-SUM($E188:M188))</f>
        <v>9</v>
      </c>
      <c r="O189" s="171">
        <f>IF(O188=0,0,$D188-SUM($E188:N188))</f>
        <v>8</v>
      </c>
      <c r="P189" s="171">
        <f>IF(P188=0,0,$D188-SUM($E188:O188))</f>
        <v>7</v>
      </c>
      <c r="Q189" s="171">
        <f>IF(Q188=0,0,$D188-SUM($E188:P188))</f>
        <v>6</v>
      </c>
      <c r="R189" s="171">
        <f>IF(R188=0,0,$D188-SUM($E188:Q188))</f>
        <v>5</v>
      </c>
      <c r="S189" s="171">
        <f>IF(S188=0,0,$D188-SUM($E188:R188))</f>
        <v>4</v>
      </c>
      <c r="T189" s="171">
        <f>IF(T188=0,0,$D188-SUM($E188:S188))</f>
        <v>3</v>
      </c>
      <c r="U189" s="171">
        <f>IF(U188=0,0,$D188-SUM($E188:T188))</f>
        <v>2</v>
      </c>
      <c r="V189" s="171">
        <f>IF(V188=0,0,$D188-SUM($E188:U188))</f>
        <v>1</v>
      </c>
      <c r="W189" s="171">
        <f>IF(W188=0,0,$D188-SUM($E188:V188))</f>
        <v>0</v>
      </c>
      <c r="X189" s="171">
        <f>IF(X188=0,0,$D188-SUM($E188:W188))</f>
        <v>0</v>
      </c>
      <c r="Y189" s="171">
        <f>IF(Y188=0,0,$D188-SUM($E188:X188))</f>
        <v>0</v>
      </c>
      <c r="Z189" s="171">
        <f>IF(Z188=0,0,$D188-SUM($E188:Y188))</f>
        <v>0</v>
      </c>
      <c r="AA189" s="171">
        <f>IF(AA188=0,0,$D188-SUM($E188:Z188))</f>
        <v>0</v>
      </c>
      <c r="AB189" s="171">
        <f>IF(AB188=0,0,$D188-SUM($E188:AA188))</f>
        <v>0</v>
      </c>
      <c r="AC189" s="171">
        <f>IF(AC188=0,0,$D188-SUM($E188:AB188))</f>
        <v>0</v>
      </c>
      <c r="AD189" s="171">
        <f>IF(AD188=0,0,$D188-SUM($E188:AC188))</f>
        <v>0</v>
      </c>
      <c r="AE189" s="171">
        <f>IF(AE188=0,0,$D188-SUM($E188:AD188))</f>
        <v>0</v>
      </c>
      <c r="AF189" s="171">
        <f>IF(AF188=0,0,$D188-SUM($E188:AE188))</f>
        <v>0</v>
      </c>
      <c r="AG189" s="171">
        <f>IF(AG188=0,0,$D188-SUM($E188:AF188))</f>
        <v>0</v>
      </c>
      <c r="AH189" s="171">
        <f>IF(AH188=0,0,$D188-SUM($E188:AG188))</f>
        <v>0</v>
      </c>
      <c r="AI189" s="171">
        <f>IF(AI188=0,0,$D188-SUM($E188:AH188))</f>
        <v>0</v>
      </c>
      <c r="AJ189" s="171">
        <f>IF(AJ188=0,0,$D188-SUM($E188:AI188))</f>
        <v>0</v>
      </c>
      <c r="AK189" s="171">
        <f>IF(AK188=0,0,$D188-SUM($E188:AJ188))</f>
        <v>0</v>
      </c>
      <c r="AL189" s="171">
        <f>IF(AL188=0,0,$D188-SUM($E188:AK188))</f>
        <v>0</v>
      </c>
      <c r="AM189" s="171">
        <f>IF(AM188=0,0,$D188-SUM($E188:AL188))</f>
        <v>0</v>
      </c>
    </row>
    <row r="190" spans="1:39" x14ac:dyDescent="0.3">
      <c r="A190" s="47"/>
      <c r="B190" s="47"/>
      <c r="C190" s="2"/>
      <c r="D190" s="107"/>
      <c r="F190" s="171"/>
      <c r="G190" s="171"/>
      <c r="H190" s="171"/>
      <c r="I190" s="171"/>
      <c r="J190" s="171"/>
      <c r="K190" s="171"/>
      <c r="L190" s="171"/>
      <c r="M190" s="171"/>
      <c r="N190" s="171"/>
      <c r="O190" s="171"/>
      <c r="P190" s="171"/>
      <c r="Q190" s="171"/>
      <c r="R190" s="171"/>
      <c r="S190" s="171"/>
      <c r="T190" s="171"/>
      <c r="U190" s="171"/>
      <c r="V190" s="171"/>
      <c r="W190" s="171"/>
      <c r="X190" s="171"/>
      <c r="Y190" s="171"/>
      <c r="Z190" s="171"/>
      <c r="AA190" s="171"/>
      <c r="AB190" s="171"/>
      <c r="AC190" s="171"/>
      <c r="AD190" s="171"/>
      <c r="AE190" s="171"/>
      <c r="AF190" s="171"/>
      <c r="AG190" s="171"/>
      <c r="AH190" s="171"/>
      <c r="AI190" s="171"/>
      <c r="AJ190" s="171"/>
      <c r="AK190" s="171"/>
      <c r="AL190" s="171"/>
      <c r="AM190" s="171"/>
    </row>
    <row r="191" spans="1:39" x14ac:dyDescent="0.3">
      <c r="A191" s="47"/>
      <c r="B191" s="47"/>
      <c r="C191" s="2" t="s">
        <v>304</v>
      </c>
      <c r="D191" s="400">
        <f>SUM(F191:AM191)</f>
        <v>16</v>
      </c>
      <c r="E191" s="401"/>
      <c r="F191" s="402">
        <f t="shared" ref="F191:AM191" si="140">F98</f>
        <v>0</v>
      </c>
      <c r="G191" s="402">
        <f t="shared" si="140"/>
        <v>0</v>
      </c>
      <c r="H191" s="402">
        <f t="shared" si="140"/>
        <v>0</v>
      </c>
      <c r="I191" s="402">
        <f t="shared" si="140"/>
        <v>0</v>
      </c>
      <c r="J191" s="402">
        <f t="shared" si="140"/>
        <v>1</v>
      </c>
      <c r="K191" s="402">
        <f t="shared" si="140"/>
        <v>1</v>
      </c>
      <c r="L191" s="402">
        <f t="shared" si="140"/>
        <v>1</v>
      </c>
      <c r="M191" s="402">
        <f t="shared" si="140"/>
        <v>1</v>
      </c>
      <c r="N191" s="402">
        <f t="shared" si="140"/>
        <v>1</v>
      </c>
      <c r="O191" s="402">
        <f t="shared" si="140"/>
        <v>1</v>
      </c>
      <c r="P191" s="402">
        <f t="shared" si="140"/>
        <v>1</v>
      </c>
      <c r="Q191" s="402">
        <f t="shared" si="140"/>
        <v>1</v>
      </c>
      <c r="R191" s="402">
        <f t="shared" si="140"/>
        <v>1</v>
      </c>
      <c r="S191" s="402">
        <f t="shared" si="140"/>
        <v>1</v>
      </c>
      <c r="T191" s="402">
        <f t="shared" si="140"/>
        <v>1</v>
      </c>
      <c r="U191" s="402">
        <f t="shared" si="140"/>
        <v>1</v>
      </c>
      <c r="V191" s="402">
        <f t="shared" si="140"/>
        <v>1</v>
      </c>
      <c r="W191" s="402">
        <f t="shared" si="140"/>
        <v>1</v>
      </c>
      <c r="X191" s="402">
        <f t="shared" si="140"/>
        <v>1</v>
      </c>
      <c r="Y191" s="402">
        <f t="shared" si="140"/>
        <v>1</v>
      </c>
      <c r="Z191" s="402">
        <f t="shared" si="140"/>
        <v>0</v>
      </c>
      <c r="AA191" s="402">
        <f t="shared" si="140"/>
        <v>0</v>
      </c>
      <c r="AB191" s="402">
        <f t="shared" si="140"/>
        <v>0</v>
      </c>
      <c r="AC191" s="402">
        <f t="shared" si="140"/>
        <v>0</v>
      </c>
      <c r="AD191" s="402">
        <f t="shared" si="140"/>
        <v>0</v>
      </c>
      <c r="AE191" s="402">
        <f t="shared" si="140"/>
        <v>0</v>
      </c>
      <c r="AF191" s="402">
        <f t="shared" si="140"/>
        <v>0</v>
      </c>
      <c r="AG191" s="402">
        <f t="shared" si="140"/>
        <v>0</v>
      </c>
      <c r="AH191" s="402">
        <f t="shared" si="140"/>
        <v>0</v>
      </c>
      <c r="AI191" s="402">
        <f t="shared" si="140"/>
        <v>0</v>
      </c>
      <c r="AJ191" s="402">
        <f t="shared" si="140"/>
        <v>0</v>
      </c>
      <c r="AK191" s="402">
        <f t="shared" si="140"/>
        <v>0</v>
      </c>
      <c r="AL191" s="402">
        <f t="shared" si="140"/>
        <v>0</v>
      </c>
      <c r="AM191" s="403">
        <f t="shared" si="140"/>
        <v>0</v>
      </c>
    </row>
    <row r="192" spans="1:39" x14ac:dyDescent="0.3">
      <c r="A192" s="47"/>
      <c r="B192" s="47"/>
      <c r="C192" s="2" t="s">
        <v>175</v>
      </c>
      <c r="D192" s="107" t="s">
        <v>127</v>
      </c>
      <c r="F192" s="171">
        <f>IF(F191=0,0,$D191-SUM($E191:E191))</f>
        <v>0</v>
      </c>
      <c r="G192" s="171">
        <f>IF(G191=0,0,$D191-SUM($E191:F191))</f>
        <v>0</v>
      </c>
      <c r="H192" s="171">
        <f>IF(H191=0,0,$D191-SUM($E191:G191))</f>
        <v>0</v>
      </c>
      <c r="I192" s="171">
        <f>IF(I191=0,0,$D191-SUM($E191:H191))</f>
        <v>0</v>
      </c>
      <c r="J192" s="171">
        <f>IF(J191=0,0,$D191-SUM($E191:I191))</f>
        <v>16</v>
      </c>
      <c r="K192" s="171">
        <f>IF(K191=0,0,$D191-SUM($E191:J191))</f>
        <v>15</v>
      </c>
      <c r="L192" s="171">
        <f>IF(L191=0,0,$D191-SUM($E191:K191))</f>
        <v>14</v>
      </c>
      <c r="M192" s="171">
        <f>IF(M191=0,0,$D191-SUM($E191:L191))</f>
        <v>13</v>
      </c>
      <c r="N192" s="171">
        <f>IF(N191=0,0,$D191-SUM($E191:M191))</f>
        <v>12</v>
      </c>
      <c r="O192" s="171">
        <f>IF(O191=0,0,$D191-SUM($E191:N191))</f>
        <v>11</v>
      </c>
      <c r="P192" s="171">
        <f>IF(P191=0,0,$D191-SUM($E191:O191))</f>
        <v>10</v>
      </c>
      <c r="Q192" s="171">
        <f>IF(Q191=0,0,$D191-SUM($E191:P191))</f>
        <v>9</v>
      </c>
      <c r="R192" s="171">
        <f>IF(R191=0,0,$D191-SUM($E191:Q191))</f>
        <v>8</v>
      </c>
      <c r="S192" s="171">
        <f>IF(S191=0,0,$D191-SUM($E191:R191))</f>
        <v>7</v>
      </c>
      <c r="T192" s="171">
        <f>IF(T191=0,0,$D191-SUM($E191:S191))</f>
        <v>6</v>
      </c>
      <c r="U192" s="171">
        <f>IF(U191=0,0,$D191-SUM($E191:T191))</f>
        <v>5</v>
      </c>
      <c r="V192" s="171">
        <f>IF(V191=0,0,$D191-SUM($E191:U191))</f>
        <v>4</v>
      </c>
      <c r="W192" s="171">
        <f>IF(W191=0,0,$D191-SUM($E191:V191))</f>
        <v>3</v>
      </c>
      <c r="X192" s="171">
        <f>IF(X191=0,0,$D191-SUM($E191:W191))</f>
        <v>2</v>
      </c>
      <c r="Y192" s="171">
        <f>IF(Y191=0,0,$D191-SUM($E191:X191))</f>
        <v>1</v>
      </c>
      <c r="Z192" s="171">
        <f>IF(Z191=0,0,$D191-SUM($E191:Y191))</f>
        <v>0</v>
      </c>
      <c r="AA192" s="171">
        <f>IF(AA191=0,0,$D191-SUM($E191:Z191))</f>
        <v>0</v>
      </c>
      <c r="AB192" s="171">
        <f>IF(AB191=0,0,$D191-SUM($E191:AA191))</f>
        <v>0</v>
      </c>
      <c r="AC192" s="171">
        <f>IF(AC191=0,0,$D191-SUM($E191:AB191))</f>
        <v>0</v>
      </c>
      <c r="AD192" s="171">
        <f>IF(AD191=0,0,$D191-SUM($E191:AC191))</f>
        <v>0</v>
      </c>
      <c r="AE192" s="171">
        <f>IF(AE191=0,0,$D191-SUM($E191:AD191))</f>
        <v>0</v>
      </c>
      <c r="AF192" s="171">
        <f>IF(AF191=0,0,$D191-SUM($E191:AE191))</f>
        <v>0</v>
      </c>
      <c r="AG192" s="171">
        <f>IF(AG191=0,0,$D191-SUM($E191:AF191))</f>
        <v>0</v>
      </c>
      <c r="AH192" s="171">
        <f>IF(AH191=0,0,$D191-SUM($E191:AG191))</f>
        <v>0</v>
      </c>
      <c r="AI192" s="171">
        <f>IF(AI191=0,0,$D191-SUM($E191:AH191))</f>
        <v>0</v>
      </c>
      <c r="AJ192" s="171">
        <f>IF(AJ191=0,0,$D191-SUM($E191:AI191))</f>
        <v>0</v>
      </c>
      <c r="AK192" s="171">
        <f>IF(AK191=0,0,$D191-SUM($E191:AJ191))</f>
        <v>0</v>
      </c>
      <c r="AL192" s="171">
        <f>IF(AL191=0,0,$D191-SUM($E191:AK191))</f>
        <v>0</v>
      </c>
      <c r="AM192" s="171">
        <f>IF(AM191=0,0,$D191-SUM($E191:AL191))</f>
        <v>0</v>
      </c>
    </row>
    <row r="193" spans="1:39" x14ac:dyDescent="0.3">
      <c r="A193" s="47"/>
      <c r="B193" s="47"/>
      <c r="C193" s="2"/>
      <c r="D193" s="107"/>
      <c r="F193" s="171"/>
      <c r="G193" s="171"/>
      <c r="H193" s="171"/>
      <c r="I193" s="171"/>
      <c r="J193" s="171"/>
      <c r="K193" s="171"/>
      <c r="L193" s="171"/>
      <c r="M193" s="171"/>
      <c r="N193" s="171"/>
      <c r="O193" s="171"/>
      <c r="P193" s="171"/>
      <c r="Q193" s="171"/>
      <c r="R193" s="171"/>
      <c r="S193" s="171"/>
      <c r="T193" s="171"/>
      <c r="U193" s="171"/>
      <c r="V193" s="171"/>
      <c r="W193" s="171"/>
      <c r="X193" s="171"/>
      <c r="Y193" s="171"/>
      <c r="Z193" s="171"/>
      <c r="AA193" s="171"/>
      <c r="AB193" s="171"/>
      <c r="AC193" s="171"/>
      <c r="AD193" s="171"/>
      <c r="AE193" s="171"/>
      <c r="AF193" s="171"/>
      <c r="AG193" s="171"/>
      <c r="AH193" s="171"/>
      <c r="AI193" s="171"/>
      <c r="AJ193" s="171"/>
      <c r="AK193" s="171"/>
      <c r="AL193" s="171"/>
      <c r="AM193" s="171"/>
    </row>
    <row r="194" spans="1:39" s="197" customFormat="1" x14ac:dyDescent="0.3">
      <c r="A194" s="194"/>
      <c r="B194" s="194"/>
      <c r="C194" s="195" t="s">
        <v>167</v>
      </c>
      <c r="D194" s="282" t="s">
        <v>127</v>
      </c>
      <c r="E194" s="196"/>
      <c r="F194" s="283">
        <f t="shared" ref="F194:AM194" si="141">IF(F78=1,F123,F163)</f>
        <v>0</v>
      </c>
      <c r="G194" s="283">
        <f t="shared" si="141"/>
        <v>8.3600157805858579</v>
      </c>
      <c r="H194" s="283">
        <f t="shared" si="141"/>
        <v>42.843070608744014</v>
      </c>
      <c r="I194" s="283">
        <f t="shared" si="141"/>
        <v>133.74740407693486</v>
      </c>
      <c r="J194" s="283">
        <f t="shared" si="141"/>
        <v>164.19923395965782</v>
      </c>
      <c r="K194" s="283">
        <f t="shared" si="141"/>
        <v>158.31143567141348</v>
      </c>
      <c r="L194" s="283">
        <f t="shared" si="141"/>
        <v>152.02111070595433</v>
      </c>
      <c r="M194" s="283">
        <f t="shared" si="141"/>
        <v>145.27974388277846</v>
      </c>
      <c r="N194" s="283">
        <f t="shared" si="141"/>
        <v>138.06648138198028</v>
      </c>
      <c r="O194" s="283">
        <f t="shared" si="141"/>
        <v>130.34829050612623</v>
      </c>
      <c r="P194" s="283">
        <f t="shared" si="141"/>
        <v>122.09850351639581</v>
      </c>
      <c r="Q194" s="283">
        <f t="shared" si="141"/>
        <v>113.26131874513071</v>
      </c>
      <c r="R194" s="283">
        <f t="shared" si="141"/>
        <v>103.80553103987705</v>
      </c>
      <c r="S194" s="283">
        <f t="shared" si="141"/>
        <v>93.687838195255651</v>
      </c>
      <c r="T194" s="283">
        <f t="shared" si="141"/>
        <v>82.868466920889347</v>
      </c>
      <c r="U194" s="283">
        <f t="shared" si="141"/>
        <v>71.283803312937053</v>
      </c>
      <c r="V194" s="283">
        <f t="shared" si="141"/>
        <v>58.888213252428102</v>
      </c>
      <c r="W194" s="283">
        <f t="shared" si="141"/>
        <v>45.624931887683523</v>
      </c>
      <c r="X194" s="283">
        <f t="shared" si="141"/>
        <v>31.435969953887906</v>
      </c>
      <c r="Y194" s="283">
        <f t="shared" si="141"/>
        <v>16.249511038966208</v>
      </c>
      <c r="Z194" s="283">
        <f t="shared" si="141"/>
        <v>0</v>
      </c>
      <c r="AA194" s="283">
        <f t="shared" si="141"/>
        <v>0</v>
      </c>
      <c r="AB194" s="283">
        <f t="shared" si="141"/>
        <v>0</v>
      </c>
      <c r="AC194" s="283">
        <f t="shared" si="141"/>
        <v>0</v>
      </c>
      <c r="AD194" s="283">
        <f t="shared" si="141"/>
        <v>0</v>
      </c>
      <c r="AE194" s="283">
        <f t="shared" si="141"/>
        <v>0</v>
      </c>
      <c r="AF194" s="283">
        <f t="shared" si="141"/>
        <v>0</v>
      </c>
      <c r="AG194" s="283">
        <f t="shared" si="141"/>
        <v>0</v>
      </c>
      <c r="AH194" s="283">
        <f t="shared" si="141"/>
        <v>0</v>
      </c>
      <c r="AI194" s="283">
        <f t="shared" si="141"/>
        <v>0</v>
      </c>
      <c r="AJ194" s="283">
        <f t="shared" si="141"/>
        <v>0</v>
      </c>
      <c r="AK194" s="283">
        <f t="shared" si="141"/>
        <v>0</v>
      </c>
      <c r="AL194" s="283">
        <f t="shared" si="141"/>
        <v>0</v>
      </c>
      <c r="AM194" s="283">
        <f t="shared" si="141"/>
        <v>0</v>
      </c>
    </row>
    <row r="195" spans="1:39" x14ac:dyDescent="0.3">
      <c r="A195" s="47"/>
      <c r="B195" s="47"/>
      <c r="C195" s="2" t="s">
        <v>176</v>
      </c>
      <c r="D195" s="107" t="s">
        <v>169</v>
      </c>
      <c r="E195" s="2"/>
      <c r="F195" s="114">
        <f t="shared" ref="F195:AM195" si="142">IF(F78=1,F144,F176)</f>
        <v>4.0465655151550761E-2</v>
      </c>
      <c r="G195" s="114">
        <f t="shared" si="142"/>
        <v>7.0198360175480534E-2</v>
      </c>
      <c r="H195" s="114">
        <f t="shared" si="142"/>
        <v>7.0000000000000062E-2</v>
      </c>
      <c r="I195" s="114">
        <f t="shared" si="142"/>
        <v>7.0000000000000062E-2</v>
      </c>
      <c r="J195" s="114">
        <f t="shared" si="142"/>
        <v>7.0000000000000062E-2</v>
      </c>
      <c r="K195" s="114">
        <f t="shared" si="142"/>
        <v>7.0198360175480534E-2</v>
      </c>
      <c r="L195" s="114">
        <f t="shared" si="142"/>
        <v>7.0000000000000062E-2</v>
      </c>
      <c r="M195" s="114">
        <f t="shared" si="142"/>
        <v>7.0000000000000062E-2</v>
      </c>
      <c r="N195" s="114">
        <f t="shared" si="142"/>
        <v>7.0000000000000062E-2</v>
      </c>
      <c r="O195" s="114">
        <f t="shared" si="142"/>
        <v>7.0198360175480534E-2</v>
      </c>
      <c r="P195" s="114">
        <f t="shared" si="142"/>
        <v>7.0000000000000062E-2</v>
      </c>
      <c r="Q195" s="114">
        <f t="shared" si="142"/>
        <v>7.0000000000000062E-2</v>
      </c>
      <c r="R195" s="114">
        <f t="shared" si="142"/>
        <v>7.0000000000000062E-2</v>
      </c>
      <c r="S195" s="114">
        <f t="shared" si="142"/>
        <v>7.0198360175480534E-2</v>
      </c>
      <c r="T195" s="114">
        <f t="shared" si="142"/>
        <v>7.0000000000000062E-2</v>
      </c>
      <c r="U195" s="114">
        <f t="shared" si="142"/>
        <v>7.0000000000000062E-2</v>
      </c>
      <c r="V195" s="114">
        <f t="shared" si="142"/>
        <v>7.0000000000000062E-2</v>
      </c>
      <c r="W195" s="114">
        <f t="shared" si="142"/>
        <v>7.0198360175480534E-2</v>
      </c>
      <c r="X195" s="114">
        <f t="shared" si="142"/>
        <v>7.0000000000000062E-2</v>
      </c>
      <c r="Y195" s="114">
        <f t="shared" si="142"/>
        <v>7.0000000000000062E-2</v>
      </c>
      <c r="Z195" s="114">
        <f t="shared" si="142"/>
        <v>7.0000000000000062E-2</v>
      </c>
      <c r="AA195" s="114">
        <f t="shared" si="142"/>
        <v>7.0198360175480534E-2</v>
      </c>
      <c r="AB195" s="114">
        <f t="shared" si="142"/>
        <v>7.0000000000000062E-2</v>
      </c>
      <c r="AC195" s="114">
        <f t="shared" si="142"/>
        <v>7.0000000000000062E-2</v>
      </c>
      <c r="AD195" s="114">
        <f t="shared" si="142"/>
        <v>7.0000000000000062E-2</v>
      </c>
      <c r="AE195" s="114">
        <f t="shared" si="142"/>
        <v>7.0198360175480534E-2</v>
      </c>
      <c r="AF195" s="114">
        <f t="shared" si="142"/>
        <v>7.0000000000000062E-2</v>
      </c>
      <c r="AG195" s="114">
        <f t="shared" si="142"/>
        <v>7.0000000000000062E-2</v>
      </c>
      <c r="AH195" s="114">
        <f t="shared" si="142"/>
        <v>7.0000000000000062E-2</v>
      </c>
      <c r="AI195" s="114">
        <f t="shared" si="142"/>
        <v>7.0198360175480534E-2</v>
      </c>
      <c r="AJ195" s="114">
        <f t="shared" si="142"/>
        <v>7.0000000000000062E-2</v>
      </c>
      <c r="AK195" s="114">
        <f t="shared" si="142"/>
        <v>7.0000000000000062E-2</v>
      </c>
      <c r="AL195" s="114">
        <f t="shared" si="142"/>
        <v>7.0000000000000062E-2</v>
      </c>
      <c r="AM195" s="114">
        <f t="shared" si="142"/>
        <v>7.0198360175480534E-2</v>
      </c>
    </row>
    <row r="196" spans="1:39" s="182" customFormat="1" x14ac:dyDescent="0.3">
      <c r="A196" s="179"/>
      <c r="B196" s="179"/>
      <c r="C196" s="178" t="s">
        <v>265</v>
      </c>
      <c r="D196" s="180" t="s">
        <v>127</v>
      </c>
      <c r="E196" s="227">
        <f>SUM(F196:AM196)</f>
        <v>278.20425353711232</v>
      </c>
      <c r="F196" s="228">
        <f>IF(F191=0,0,F195*F194/(1-(1+F195)^(-F192)))</f>
        <v>0</v>
      </c>
      <c r="G196" s="228">
        <f t="shared" ref="G196:AM196" si="143">IF(G191=0,0,G195*G194/(1-(1+G195)^(-G192)))</f>
        <v>0</v>
      </c>
      <c r="H196" s="228">
        <f t="shared" si="143"/>
        <v>0</v>
      </c>
      <c r="I196" s="228">
        <f t="shared" si="143"/>
        <v>0</v>
      </c>
      <c r="J196" s="228">
        <f t="shared" si="143"/>
        <v>17.381744665420396</v>
      </c>
      <c r="K196" s="228">
        <f t="shared" si="143"/>
        <v>17.403528146618456</v>
      </c>
      <c r="L196" s="228">
        <f t="shared" si="143"/>
        <v>17.382844572592688</v>
      </c>
      <c r="M196" s="228">
        <f t="shared" si="143"/>
        <v>17.382844572592688</v>
      </c>
      <c r="N196" s="228">
        <f t="shared" si="143"/>
        <v>17.382844572592688</v>
      </c>
      <c r="O196" s="228">
        <f t="shared" si="143"/>
        <v>17.400023234937642</v>
      </c>
      <c r="P196" s="228">
        <f t="shared" si="143"/>
        <v>17.38408001741281</v>
      </c>
      <c r="Q196" s="228">
        <f t="shared" si="143"/>
        <v>17.384080017412806</v>
      </c>
      <c r="R196" s="228">
        <f t="shared" si="143"/>
        <v>17.384080017412803</v>
      </c>
      <c r="S196" s="228">
        <f t="shared" si="143"/>
        <v>17.396103884059009</v>
      </c>
      <c r="T196" s="228">
        <f t="shared" si="143"/>
        <v>17.385456292414556</v>
      </c>
      <c r="U196" s="228">
        <f t="shared" si="143"/>
        <v>17.385456292414549</v>
      </c>
      <c r="V196" s="228">
        <f t="shared" si="143"/>
        <v>17.385456292414549</v>
      </c>
      <c r="W196" s="228">
        <f t="shared" si="143"/>
        <v>17.391757335428995</v>
      </c>
      <c r="X196" s="228">
        <f t="shared" si="143"/>
        <v>17.386976811693852</v>
      </c>
      <c r="Y196" s="228">
        <f t="shared" si="143"/>
        <v>17.386976811693856</v>
      </c>
      <c r="Z196" s="228">
        <f t="shared" si="143"/>
        <v>0</v>
      </c>
      <c r="AA196" s="228">
        <f t="shared" si="143"/>
        <v>0</v>
      </c>
      <c r="AB196" s="228">
        <f t="shared" si="143"/>
        <v>0</v>
      </c>
      <c r="AC196" s="228">
        <f t="shared" si="143"/>
        <v>0</v>
      </c>
      <c r="AD196" s="228">
        <f t="shared" si="143"/>
        <v>0</v>
      </c>
      <c r="AE196" s="228">
        <f t="shared" si="143"/>
        <v>0</v>
      </c>
      <c r="AF196" s="228">
        <f t="shared" si="143"/>
        <v>0</v>
      </c>
      <c r="AG196" s="228">
        <f t="shared" si="143"/>
        <v>0</v>
      </c>
      <c r="AH196" s="228">
        <f t="shared" si="143"/>
        <v>0</v>
      </c>
      <c r="AI196" s="228">
        <f t="shared" si="143"/>
        <v>0</v>
      </c>
      <c r="AJ196" s="228">
        <f t="shared" si="143"/>
        <v>0</v>
      </c>
      <c r="AK196" s="228">
        <f t="shared" si="143"/>
        <v>0</v>
      </c>
      <c r="AL196" s="228">
        <f t="shared" si="143"/>
        <v>0</v>
      </c>
      <c r="AM196" s="228">
        <f t="shared" si="143"/>
        <v>0</v>
      </c>
    </row>
    <row r="197" spans="1:39" s="182" customFormat="1" x14ac:dyDescent="0.3">
      <c r="A197" s="179"/>
      <c r="B197" s="179"/>
      <c r="C197" s="178" t="s">
        <v>266</v>
      </c>
      <c r="D197" s="180" t="s">
        <v>127</v>
      </c>
      <c r="E197" s="227">
        <f>SUM(F197:AM197)</f>
        <v>-114.0050195774545</v>
      </c>
      <c r="F197" s="301">
        <f>IF(F191=0,0,-F183)</f>
        <v>0</v>
      </c>
      <c r="G197" s="301">
        <f>IF(G191=0,0,-G183)</f>
        <v>0</v>
      </c>
      <c r="H197" s="301">
        <f t="shared" ref="H197:Y197" si="144">IF(H191=0,0,-H183)</f>
        <v>0</v>
      </c>
      <c r="I197" s="301">
        <f t="shared" si="144"/>
        <v>0</v>
      </c>
      <c r="J197" s="301">
        <f t="shared" si="144"/>
        <v>-11.493946377176057</v>
      </c>
      <c r="K197" s="301">
        <f t="shared" si="144"/>
        <v>-11.1132031811593</v>
      </c>
      <c r="L197" s="301">
        <f t="shared" si="144"/>
        <v>-10.641477749416813</v>
      </c>
      <c r="M197" s="301">
        <f t="shared" si="144"/>
        <v>-10.169582071794501</v>
      </c>
      <c r="N197" s="301">
        <f t="shared" si="144"/>
        <v>-9.664653696738629</v>
      </c>
      <c r="O197" s="301">
        <f t="shared" si="144"/>
        <v>-9.1502362452072195</v>
      </c>
      <c r="P197" s="301">
        <f t="shared" si="144"/>
        <v>-8.5468952461477148</v>
      </c>
      <c r="Q197" s="301">
        <f t="shared" si="144"/>
        <v>-7.9282923121591562</v>
      </c>
      <c r="R197" s="301">
        <f t="shared" si="144"/>
        <v>-7.2663871727913998</v>
      </c>
      <c r="S197" s="301">
        <f t="shared" si="144"/>
        <v>-6.5767326096926988</v>
      </c>
      <c r="T197" s="301">
        <f t="shared" si="144"/>
        <v>-5.8007926844622597</v>
      </c>
      <c r="U197" s="301">
        <f t="shared" si="144"/>
        <v>-4.989866231905598</v>
      </c>
      <c r="V197" s="301">
        <f t="shared" si="144"/>
        <v>-4.1221749276699704</v>
      </c>
      <c r="W197" s="301">
        <f t="shared" si="144"/>
        <v>-3.2027954016333751</v>
      </c>
      <c r="X197" s="301">
        <f t="shared" si="144"/>
        <v>-2.2005178967721553</v>
      </c>
      <c r="Y197" s="301">
        <f t="shared" si="144"/>
        <v>-1.1374657727276356</v>
      </c>
      <c r="Z197" s="301">
        <f>IF(Z191=0,0,-Z183)</f>
        <v>0</v>
      </c>
      <c r="AA197" s="301">
        <f>IF(AA191=0,0,-AA183)</f>
        <v>0</v>
      </c>
      <c r="AB197" s="301">
        <f t="shared" ref="AB197:AM197" si="145">IF(AB191=0,0,-AB183)</f>
        <v>0</v>
      </c>
      <c r="AC197" s="301">
        <f t="shared" si="145"/>
        <v>0</v>
      </c>
      <c r="AD197" s="301">
        <f t="shared" si="145"/>
        <v>0</v>
      </c>
      <c r="AE197" s="301">
        <f t="shared" si="145"/>
        <v>0</v>
      </c>
      <c r="AF197" s="301">
        <f t="shared" si="145"/>
        <v>0</v>
      </c>
      <c r="AG197" s="301">
        <f t="shared" si="145"/>
        <v>0</v>
      </c>
      <c r="AH197" s="301">
        <f t="shared" si="145"/>
        <v>0</v>
      </c>
      <c r="AI197" s="301">
        <f t="shared" si="145"/>
        <v>0</v>
      </c>
      <c r="AJ197" s="301">
        <f t="shared" si="145"/>
        <v>0</v>
      </c>
      <c r="AK197" s="301">
        <f t="shared" si="145"/>
        <v>0</v>
      </c>
      <c r="AL197" s="301">
        <f t="shared" si="145"/>
        <v>0</v>
      </c>
      <c r="AM197" s="301">
        <f t="shared" si="145"/>
        <v>0</v>
      </c>
    </row>
    <row r="198" spans="1:39" s="182" customFormat="1" x14ac:dyDescent="0.3">
      <c r="A198" s="179"/>
      <c r="B198" s="179"/>
      <c r="C198" s="178" t="s">
        <v>267</v>
      </c>
      <c r="D198" s="180" t="s">
        <v>127</v>
      </c>
      <c r="E198" s="227">
        <f>SUM(F198:AM198)</f>
        <v>164.19923395965787</v>
      </c>
      <c r="F198" s="221">
        <f>IF(F196=0,0,SUM(F196:F197))</f>
        <v>0</v>
      </c>
      <c r="G198" s="221">
        <f t="shared" ref="G198:J198" si="146">IF(G196=0,0,SUM(G196:G197))</f>
        <v>0</v>
      </c>
      <c r="H198" s="221">
        <f t="shared" si="146"/>
        <v>0</v>
      </c>
      <c r="I198" s="221">
        <f t="shared" si="146"/>
        <v>0</v>
      </c>
      <c r="J198" s="221">
        <f t="shared" si="146"/>
        <v>5.8877982882443387</v>
      </c>
      <c r="K198" s="221">
        <f t="shared" ref="K198" si="147">IF(K196=0,0,SUM(K196:K197))</f>
        <v>6.2903249654591562</v>
      </c>
      <c r="L198" s="221">
        <f t="shared" ref="L198" si="148">IF(L196=0,0,SUM(L196:L197))</f>
        <v>6.7413668231758752</v>
      </c>
      <c r="M198" s="221">
        <f t="shared" ref="M198:N198" si="149">IF(M196=0,0,SUM(M196:M197))</f>
        <v>7.2132625007981872</v>
      </c>
      <c r="N198" s="221">
        <f t="shared" si="149"/>
        <v>7.7181908758540594</v>
      </c>
      <c r="O198" s="221">
        <f t="shared" ref="O198" si="150">IF(O196=0,0,SUM(O196:O197))</f>
        <v>8.2497869897304223</v>
      </c>
      <c r="P198" s="221">
        <f t="shared" ref="P198" si="151">IF(P196=0,0,SUM(P196:P197))</f>
        <v>8.8371847712650951</v>
      </c>
      <c r="Q198" s="221">
        <f t="shared" ref="Q198:R198" si="152">IF(Q196=0,0,SUM(Q196:Q197))</f>
        <v>9.4557877052536501</v>
      </c>
      <c r="R198" s="221">
        <f t="shared" si="152"/>
        <v>10.117692844621402</v>
      </c>
      <c r="S198" s="221">
        <f t="shared" ref="S198" si="153">IF(S196=0,0,SUM(S196:S197))</f>
        <v>10.819371274366311</v>
      </c>
      <c r="T198" s="221">
        <f t="shared" ref="T198" si="154">IF(T196=0,0,SUM(T196:T197))</f>
        <v>11.584663607952297</v>
      </c>
      <c r="U198" s="221">
        <f t="shared" ref="U198:V198" si="155">IF(U196=0,0,SUM(U196:U197))</f>
        <v>12.395590060508951</v>
      </c>
      <c r="V198" s="221">
        <f t="shared" si="155"/>
        <v>13.263281364744579</v>
      </c>
      <c r="W198" s="221">
        <f t="shared" ref="W198" si="156">IF(W196=0,0,SUM(W196:W197))</f>
        <v>14.188961933795619</v>
      </c>
      <c r="X198" s="221">
        <f t="shared" ref="X198" si="157">IF(X196=0,0,SUM(X196:X197))</f>
        <v>15.186458914921698</v>
      </c>
      <c r="Y198" s="221">
        <f t="shared" ref="Y198:Z198" si="158">IF(Y196=0,0,SUM(Y196:Y197))</f>
        <v>16.249511038966219</v>
      </c>
      <c r="Z198" s="221">
        <f t="shared" si="158"/>
        <v>0</v>
      </c>
      <c r="AA198" s="221">
        <f t="shared" ref="AA198" si="159">IF(AA196=0,0,SUM(AA196:AA197))</f>
        <v>0</v>
      </c>
      <c r="AB198" s="221">
        <f t="shared" ref="AB198" si="160">IF(AB196=0,0,SUM(AB196:AB197))</f>
        <v>0</v>
      </c>
      <c r="AC198" s="221">
        <f t="shared" ref="AC198:AD198" si="161">IF(AC196=0,0,SUM(AC196:AC197))</f>
        <v>0</v>
      </c>
      <c r="AD198" s="221">
        <f t="shared" si="161"/>
        <v>0</v>
      </c>
      <c r="AE198" s="221">
        <f t="shared" ref="AE198" si="162">IF(AE196=0,0,SUM(AE196:AE197))</f>
        <v>0</v>
      </c>
      <c r="AF198" s="221">
        <f t="shared" ref="AF198" si="163">IF(AF196=0,0,SUM(AF196:AF197))</f>
        <v>0</v>
      </c>
      <c r="AG198" s="221">
        <f t="shared" ref="AG198:AH198" si="164">IF(AG196=0,0,SUM(AG196:AG197))</f>
        <v>0</v>
      </c>
      <c r="AH198" s="221">
        <f t="shared" si="164"/>
        <v>0</v>
      </c>
      <c r="AI198" s="221">
        <f t="shared" ref="AI198" si="165">IF(AI196=0,0,SUM(AI196:AI197))</f>
        <v>0</v>
      </c>
      <c r="AJ198" s="221">
        <f t="shared" ref="AJ198" si="166">IF(AJ196=0,0,SUM(AJ196:AJ197))</f>
        <v>0</v>
      </c>
      <c r="AK198" s="221">
        <f t="shared" ref="AK198:AL198" si="167">IF(AK196=0,0,SUM(AK196:AK197))</f>
        <v>0</v>
      </c>
      <c r="AL198" s="221">
        <f t="shared" si="167"/>
        <v>0</v>
      </c>
      <c r="AM198" s="221">
        <f t="shared" ref="AM198" si="168">IF(AM196=0,0,SUM(AM196:AM197))</f>
        <v>0</v>
      </c>
    </row>
    <row r="199" spans="1:39" x14ac:dyDescent="0.3">
      <c r="A199" s="47"/>
      <c r="B199" s="47"/>
      <c r="C199" s="2"/>
      <c r="D199" s="107"/>
      <c r="E199" s="175"/>
      <c r="F199" s="175"/>
      <c r="G199" s="175"/>
      <c r="H199" s="175"/>
      <c r="I199" s="175"/>
      <c r="J199" s="175"/>
      <c r="K199" s="175"/>
      <c r="L199" s="175"/>
      <c r="M199" s="175"/>
      <c r="N199" s="175"/>
      <c r="O199" s="175"/>
      <c r="P199" s="175"/>
      <c r="Q199" s="175"/>
      <c r="R199" s="175"/>
      <c r="S199" s="175"/>
      <c r="T199" s="175"/>
      <c r="U199" s="175"/>
      <c r="V199" s="175"/>
      <c r="W199" s="175"/>
      <c r="X199" s="175"/>
      <c r="Y199" s="175"/>
      <c r="Z199" s="175"/>
      <c r="AA199" s="175"/>
      <c r="AB199" s="175"/>
      <c r="AC199" s="175"/>
      <c r="AD199" s="175"/>
      <c r="AE199" s="176"/>
      <c r="AF199" s="176"/>
      <c r="AG199" s="176"/>
      <c r="AH199" s="176"/>
      <c r="AI199" s="176"/>
      <c r="AJ199" s="176"/>
      <c r="AK199" s="176"/>
      <c r="AL199" s="176"/>
      <c r="AM199" s="176"/>
    </row>
    <row r="200" spans="1:39" s="368" customFormat="1" x14ac:dyDescent="0.3">
      <c r="A200" s="365"/>
      <c r="B200" s="365"/>
      <c r="C200" s="376" t="s">
        <v>167</v>
      </c>
      <c r="D200" s="366" t="s">
        <v>127</v>
      </c>
      <c r="E200" s="367"/>
      <c r="F200" s="377">
        <f t="shared" ref="F200:AM200" si="169">IF(F78=1,F129,F168)</f>
        <v>0</v>
      </c>
      <c r="G200" s="377">
        <f t="shared" si="169"/>
        <v>8359932.1804280514</v>
      </c>
      <c r="H200" s="377">
        <f t="shared" si="169"/>
        <v>42543369.486848399</v>
      </c>
      <c r="I200" s="377">
        <f t="shared" si="169"/>
        <v>131753796.48945916</v>
      </c>
      <c r="J200" s="377">
        <f t="shared" si="169"/>
        <v>162274526.41962275</v>
      </c>
      <c r="K200" s="377">
        <f t="shared" si="169"/>
        <v>154217458.55197898</v>
      </c>
      <c r="L200" s="377">
        <f t="shared" si="169"/>
        <v>145606455.48238653</v>
      </c>
      <c r="M200" s="377">
        <f t="shared" si="169"/>
        <v>136381281.13884604</v>
      </c>
      <c r="N200" s="377">
        <f t="shared" si="169"/>
        <v>126510344.59125771</v>
      </c>
      <c r="O200" s="377">
        <f t="shared" si="169"/>
        <v>115948442.4853382</v>
      </c>
      <c r="P200" s="377">
        <f t="shared" si="169"/>
        <v>104655277.83479249</v>
      </c>
      <c r="Q200" s="377">
        <f t="shared" si="169"/>
        <v>92562023.529588714</v>
      </c>
      <c r="R200" s="377">
        <f t="shared" si="169"/>
        <v>79622241.423020661</v>
      </c>
      <c r="S200" s="377">
        <f t="shared" si="169"/>
        <v>65776674.568992853</v>
      </c>
      <c r="T200" s="377">
        <f t="shared" si="169"/>
        <v>50966268.895557433</v>
      </c>
      <c r="U200" s="377">
        <f t="shared" si="169"/>
        <v>35113126.062014416</v>
      </c>
      <c r="V200" s="377">
        <f t="shared" si="169"/>
        <v>18150263.23012339</v>
      </c>
      <c r="W200" s="377">
        <f t="shared" si="169"/>
        <v>0</v>
      </c>
      <c r="X200" s="377">
        <f t="shared" si="169"/>
        <v>0</v>
      </c>
      <c r="Y200" s="377">
        <f t="shared" si="169"/>
        <v>0</v>
      </c>
      <c r="Z200" s="377">
        <f t="shared" si="169"/>
        <v>0</v>
      </c>
      <c r="AA200" s="377">
        <f t="shared" si="169"/>
        <v>0</v>
      </c>
      <c r="AB200" s="377">
        <f t="shared" si="169"/>
        <v>0</v>
      </c>
      <c r="AC200" s="377">
        <f t="shared" si="169"/>
        <v>0</v>
      </c>
      <c r="AD200" s="377">
        <f t="shared" si="169"/>
        <v>0</v>
      </c>
      <c r="AE200" s="377">
        <f t="shared" si="169"/>
        <v>0</v>
      </c>
      <c r="AF200" s="377">
        <f t="shared" si="169"/>
        <v>0</v>
      </c>
      <c r="AG200" s="377">
        <f t="shared" si="169"/>
        <v>0</v>
      </c>
      <c r="AH200" s="377">
        <f t="shared" si="169"/>
        <v>0</v>
      </c>
      <c r="AI200" s="377">
        <f t="shared" si="169"/>
        <v>0</v>
      </c>
      <c r="AJ200" s="377">
        <f t="shared" si="169"/>
        <v>0</v>
      </c>
      <c r="AK200" s="377">
        <f t="shared" si="169"/>
        <v>0</v>
      </c>
      <c r="AL200" s="377">
        <f t="shared" si="169"/>
        <v>0</v>
      </c>
      <c r="AM200" s="377">
        <f t="shared" si="169"/>
        <v>0</v>
      </c>
    </row>
    <row r="201" spans="1:39" s="368" customFormat="1" x14ac:dyDescent="0.3">
      <c r="A201" s="365"/>
      <c r="B201" s="365"/>
      <c r="C201" s="364" t="s">
        <v>176</v>
      </c>
      <c r="D201" s="366" t="s">
        <v>169</v>
      </c>
      <c r="E201" s="376"/>
      <c r="F201" s="386">
        <f t="shared" ref="F201:AM201" si="170">IF(F78=1,F149,F181)</f>
        <v>4.0465655151550761E-2</v>
      </c>
      <c r="G201" s="386">
        <f t="shared" si="170"/>
        <v>7.0198360175480534E-2</v>
      </c>
      <c r="H201" s="386">
        <f t="shared" si="170"/>
        <v>7.0000000000000062E-2</v>
      </c>
      <c r="I201" s="386">
        <f t="shared" si="170"/>
        <v>7.0000000000000062E-2</v>
      </c>
      <c r="J201" s="386">
        <f t="shared" si="170"/>
        <v>7.0000000000000062E-2</v>
      </c>
      <c r="K201" s="386">
        <f t="shared" si="170"/>
        <v>7.0198360175480534E-2</v>
      </c>
      <c r="L201" s="386">
        <f t="shared" si="170"/>
        <v>7.0000000000000062E-2</v>
      </c>
      <c r="M201" s="386">
        <f t="shared" si="170"/>
        <v>7.0000000000000062E-2</v>
      </c>
      <c r="N201" s="386">
        <f t="shared" si="170"/>
        <v>7.0000000000000062E-2</v>
      </c>
      <c r="O201" s="386">
        <f t="shared" si="170"/>
        <v>7.0198360175480534E-2</v>
      </c>
      <c r="P201" s="386">
        <f t="shared" si="170"/>
        <v>7.0000000000000062E-2</v>
      </c>
      <c r="Q201" s="386">
        <f t="shared" si="170"/>
        <v>7.0000000000000062E-2</v>
      </c>
      <c r="R201" s="386">
        <f t="shared" si="170"/>
        <v>7.0000000000000062E-2</v>
      </c>
      <c r="S201" s="386">
        <f t="shared" si="170"/>
        <v>7.0198360175480534E-2</v>
      </c>
      <c r="T201" s="386">
        <f t="shared" si="170"/>
        <v>7.0000000000000062E-2</v>
      </c>
      <c r="U201" s="386">
        <f t="shared" si="170"/>
        <v>7.0000000000000062E-2</v>
      </c>
      <c r="V201" s="386">
        <f t="shared" si="170"/>
        <v>7.0000000000000062E-2</v>
      </c>
      <c r="W201" s="386">
        <f t="shared" si="170"/>
        <v>7.0198360175480534E-2</v>
      </c>
      <c r="X201" s="386">
        <f t="shared" si="170"/>
        <v>7.0000000000000062E-2</v>
      </c>
      <c r="Y201" s="386">
        <f t="shared" si="170"/>
        <v>7.0000000000000062E-2</v>
      </c>
      <c r="Z201" s="386">
        <f t="shared" si="170"/>
        <v>7.0000000000000062E-2</v>
      </c>
      <c r="AA201" s="386">
        <f t="shared" si="170"/>
        <v>7.0198360175480534E-2</v>
      </c>
      <c r="AB201" s="386">
        <f t="shared" si="170"/>
        <v>7.0000000000000062E-2</v>
      </c>
      <c r="AC201" s="386">
        <f t="shared" si="170"/>
        <v>7.0000000000000062E-2</v>
      </c>
      <c r="AD201" s="386">
        <f t="shared" si="170"/>
        <v>7.0000000000000062E-2</v>
      </c>
      <c r="AE201" s="386">
        <f t="shared" si="170"/>
        <v>7.0198360175480534E-2</v>
      </c>
      <c r="AF201" s="386">
        <f t="shared" si="170"/>
        <v>7.0000000000000062E-2</v>
      </c>
      <c r="AG201" s="386">
        <f t="shared" si="170"/>
        <v>7.0000000000000062E-2</v>
      </c>
      <c r="AH201" s="386">
        <f t="shared" si="170"/>
        <v>7.0000000000000062E-2</v>
      </c>
      <c r="AI201" s="386">
        <f t="shared" si="170"/>
        <v>7.0198360175480534E-2</v>
      </c>
      <c r="AJ201" s="386">
        <f t="shared" si="170"/>
        <v>7.0000000000000062E-2</v>
      </c>
      <c r="AK201" s="386">
        <f t="shared" si="170"/>
        <v>7.0000000000000062E-2</v>
      </c>
      <c r="AL201" s="386">
        <f t="shared" si="170"/>
        <v>7.0000000000000062E-2</v>
      </c>
      <c r="AM201" s="386">
        <f t="shared" si="170"/>
        <v>7.0198360175480534E-2</v>
      </c>
    </row>
    <row r="202" spans="1:39" s="368" customFormat="1" x14ac:dyDescent="0.3">
      <c r="A202" s="365"/>
      <c r="B202" s="365"/>
      <c r="C202" s="364" t="s">
        <v>268</v>
      </c>
      <c r="D202" s="370" t="s">
        <v>127</v>
      </c>
      <c r="E202" s="375">
        <f>SUM(F202:AM202)</f>
        <v>273108610.22309488</v>
      </c>
      <c r="F202" s="387">
        <f>IF(F188=0,0,F201*F200/(1-(1+F201)^(-F189)))</f>
        <v>0</v>
      </c>
      <c r="G202" s="387">
        <f t="shared" ref="G202:AM202" si="171">IF(G188=0,0,G201*G200/(1-(1+G201)^(-G189)))</f>
        <v>886126.22143380123</v>
      </c>
      <c r="H202" s="387">
        <f t="shared" si="171"/>
        <v>4671033.2863247767</v>
      </c>
      <c r="I202" s="387">
        <f t="shared" si="171"/>
        <v>15065379.772518478</v>
      </c>
      <c r="J202" s="387">
        <f t="shared" si="171"/>
        <v>19416284.717017364</v>
      </c>
      <c r="K202" s="387">
        <f t="shared" si="171"/>
        <v>19436815.770371497</v>
      </c>
      <c r="L202" s="387">
        <f t="shared" si="171"/>
        <v>19417626.227307558</v>
      </c>
      <c r="M202" s="387">
        <f t="shared" si="171"/>
        <v>19417626.227307562</v>
      </c>
      <c r="N202" s="387">
        <f t="shared" si="171"/>
        <v>19417626.227307562</v>
      </c>
      <c r="O202" s="387">
        <f t="shared" si="171"/>
        <v>19432555.177917458</v>
      </c>
      <c r="P202" s="387">
        <f t="shared" si="171"/>
        <v>19419123.753639266</v>
      </c>
      <c r="Q202" s="387">
        <f t="shared" si="171"/>
        <v>19419123.753639266</v>
      </c>
      <c r="R202" s="387">
        <f t="shared" si="171"/>
        <v>19419123.753639262</v>
      </c>
      <c r="S202" s="387">
        <f t="shared" si="171"/>
        <v>19427820.365974952</v>
      </c>
      <c r="T202" s="387">
        <f t="shared" si="171"/>
        <v>19420781.656232037</v>
      </c>
      <c r="U202" s="387">
        <f t="shared" si="171"/>
        <v>19420781.656232037</v>
      </c>
      <c r="V202" s="387">
        <f t="shared" si="171"/>
        <v>19420781.65623204</v>
      </c>
      <c r="W202" s="387">
        <f t="shared" si="171"/>
        <v>0</v>
      </c>
      <c r="X202" s="387">
        <f t="shared" si="171"/>
        <v>0</v>
      </c>
      <c r="Y202" s="387">
        <f t="shared" si="171"/>
        <v>0</v>
      </c>
      <c r="Z202" s="387">
        <f t="shared" si="171"/>
        <v>0</v>
      </c>
      <c r="AA202" s="387">
        <f t="shared" si="171"/>
        <v>0</v>
      </c>
      <c r="AB202" s="387">
        <f t="shared" si="171"/>
        <v>0</v>
      </c>
      <c r="AC202" s="387">
        <f t="shared" si="171"/>
        <v>0</v>
      </c>
      <c r="AD202" s="387">
        <f t="shared" si="171"/>
        <v>0</v>
      </c>
      <c r="AE202" s="387">
        <f t="shared" si="171"/>
        <v>0</v>
      </c>
      <c r="AF202" s="387">
        <f t="shared" si="171"/>
        <v>0</v>
      </c>
      <c r="AG202" s="387">
        <f t="shared" si="171"/>
        <v>0</v>
      </c>
      <c r="AH202" s="387">
        <f t="shared" si="171"/>
        <v>0</v>
      </c>
      <c r="AI202" s="387">
        <f t="shared" si="171"/>
        <v>0</v>
      </c>
      <c r="AJ202" s="387">
        <f t="shared" si="171"/>
        <v>0</v>
      </c>
      <c r="AK202" s="387">
        <f t="shared" si="171"/>
        <v>0</v>
      </c>
      <c r="AL202" s="387">
        <f t="shared" si="171"/>
        <v>0</v>
      </c>
      <c r="AM202" s="387">
        <f t="shared" si="171"/>
        <v>0</v>
      </c>
    </row>
    <row r="203" spans="1:39" s="368" customFormat="1" x14ac:dyDescent="0.3">
      <c r="A203" s="365"/>
      <c r="B203" s="365"/>
      <c r="C203" s="364" t="s">
        <v>269</v>
      </c>
      <c r="D203" s="370" t="s">
        <v>127</v>
      </c>
      <c r="E203" s="375">
        <f>SUM(F203:AM203)</f>
        <v>-102999199.67178096</v>
      </c>
      <c r="F203" s="371">
        <f>IF(F78=1,-F152,-F184)</f>
        <v>0</v>
      </c>
      <c r="G203" s="371">
        <f t="shared" ref="G203:AM203" si="172">IF(G78=1,-G152,-G184)</f>
        <v>-586853.53024427872</v>
      </c>
      <c r="H203" s="371">
        <f t="shared" si="172"/>
        <v>-2978035.8640793907</v>
      </c>
      <c r="I203" s="371">
        <f t="shared" si="172"/>
        <v>-9222765.7542621493</v>
      </c>
      <c r="J203" s="371">
        <f t="shared" si="172"/>
        <v>-11359216.849373603</v>
      </c>
      <c r="K203" s="371">
        <f t="shared" si="172"/>
        <v>-10825812.700779062</v>
      </c>
      <c r="L203" s="371">
        <f t="shared" si="172"/>
        <v>-10192451.883767067</v>
      </c>
      <c r="M203" s="371">
        <f t="shared" si="172"/>
        <v>-9546689.679719232</v>
      </c>
      <c r="N203" s="371">
        <f t="shared" si="172"/>
        <v>-8855724.1213880479</v>
      </c>
      <c r="O203" s="371">
        <f t="shared" si="172"/>
        <v>-8139390.5273717605</v>
      </c>
      <c r="P203" s="371">
        <f t="shared" si="172"/>
        <v>-7325869.4484354807</v>
      </c>
      <c r="Q203" s="371">
        <f t="shared" si="172"/>
        <v>-6479341.6470712153</v>
      </c>
      <c r="R203" s="371">
        <f t="shared" si="172"/>
        <v>-5573556.8996114517</v>
      </c>
      <c r="S203" s="371">
        <f t="shared" si="172"/>
        <v>-4617414.6925395308</v>
      </c>
      <c r="T203" s="371">
        <f t="shared" si="172"/>
        <v>-3567638.8226890233</v>
      </c>
      <c r="U203" s="371">
        <f t="shared" si="172"/>
        <v>-2457918.8243410112</v>
      </c>
      <c r="V203" s="371">
        <f t="shared" si="172"/>
        <v>-1270518.4261086383</v>
      </c>
      <c r="W203" s="371">
        <f t="shared" si="172"/>
        <v>0</v>
      </c>
      <c r="X203" s="371">
        <f t="shared" si="172"/>
        <v>0</v>
      </c>
      <c r="Y203" s="371">
        <f t="shared" si="172"/>
        <v>0</v>
      </c>
      <c r="Z203" s="371">
        <f t="shared" si="172"/>
        <v>0</v>
      </c>
      <c r="AA203" s="371">
        <f t="shared" si="172"/>
        <v>0</v>
      </c>
      <c r="AB203" s="371">
        <f t="shared" si="172"/>
        <v>0</v>
      </c>
      <c r="AC203" s="371">
        <f t="shared" si="172"/>
        <v>0</v>
      </c>
      <c r="AD203" s="371">
        <f t="shared" si="172"/>
        <v>0</v>
      </c>
      <c r="AE203" s="371">
        <f t="shared" si="172"/>
        <v>0</v>
      </c>
      <c r="AF203" s="371">
        <f t="shared" si="172"/>
        <v>0</v>
      </c>
      <c r="AG203" s="371">
        <f t="shared" si="172"/>
        <v>0</v>
      </c>
      <c r="AH203" s="371">
        <f t="shared" si="172"/>
        <v>0</v>
      </c>
      <c r="AI203" s="371">
        <f t="shared" si="172"/>
        <v>0</v>
      </c>
      <c r="AJ203" s="371">
        <f t="shared" si="172"/>
        <v>0</v>
      </c>
      <c r="AK203" s="371">
        <f t="shared" si="172"/>
        <v>0</v>
      </c>
      <c r="AL203" s="371">
        <f t="shared" si="172"/>
        <v>0</v>
      </c>
      <c r="AM203" s="371">
        <f t="shared" si="172"/>
        <v>0</v>
      </c>
    </row>
    <row r="204" spans="1:39" s="368" customFormat="1" x14ac:dyDescent="0.3">
      <c r="A204" s="365"/>
      <c r="B204" s="365"/>
      <c r="C204" s="364" t="s">
        <v>270</v>
      </c>
      <c r="D204" s="370" t="s">
        <v>127</v>
      </c>
      <c r="E204" s="375">
        <f>SUM(F204:AM204)</f>
        <v>170109410.55131397</v>
      </c>
      <c r="F204" s="388">
        <f>IF(F202=0,0,SUM(F202:F203))</f>
        <v>0</v>
      </c>
      <c r="G204" s="388">
        <f t="shared" ref="G204:J204" si="173">IF(G202=0,0,SUM(G202:G203))</f>
        <v>299272.69118952251</v>
      </c>
      <c r="H204" s="388">
        <f t="shared" si="173"/>
        <v>1692997.4222453861</v>
      </c>
      <c r="I204" s="388">
        <f t="shared" si="173"/>
        <v>5842614.018256329</v>
      </c>
      <c r="J204" s="388">
        <f t="shared" si="173"/>
        <v>8057067.8676437605</v>
      </c>
      <c r="K204" s="388">
        <f t="shared" ref="K204" si="174">IF(K202=0,0,SUM(K202:K203))</f>
        <v>8611003.0695924349</v>
      </c>
      <c r="L204" s="388">
        <f t="shared" ref="L204" si="175">IF(L202=0,0,SUM(L202:L203))</f>
        <v>9225174.3435404915</v>
      </c>
      <c r="M204" s="388">
        <f t="shared" ref="M204:N204" si="176">IF(M202=0,0,SUM(M202:M203))</f>
        <v>9870936.5475883298</v>
      </c>
      <c r="N204" s="388">
        <f t="shared" si="176"/>
        <v>10561902.105919514</v>
      </c>
      <c r="O204" s="388">
        <f t="shared" ref="O204" si="177">IF(O202=0,0,SUM(O202:O203))</f>
        <v>11293164.650545698</v>
      </c>
      <c r="P204" s="388">
        <f t="shared" ref="P204" si="178">IF(P202=0,0,SUM(P202:P203))</f>
        <v>12093254.305203784</v>
      </c>
      <c r="Q204" s="388">
        <f t="shared" ref="Q204:R204" si="179">IF(Q202=0,0,SUM(Q202:Q203))</f>
        <v>12939782.10656805</v>
      </c>
      <c r="R204" s="388">
        <f t="shared" si="179"/>
        <v>13845566.854027811</v>
      </c>
      <c r="S204" s="388">
        <f t="shared" ref="S204" si="180">IF(S202=0,0,SUM(S202:S203))</f>
        <v>14810405.67343542</v>
      </c>
      <c r="T204" s="388">
        <f t="shared" ref="T204" si="181">IF(T202=0,0,SUM(T202:T203))</f>
        <v>15853142.833543014</v>
      </c>
      <c r="U204" s="388">
        <f t="shared" ref="U204:V204" si="182">IF(U202=0,0,SUM(U202:U203))</f>
        <v>16962862.831891026</v>
      </c>
      <c r="V204" s="388">
        <f t="shared" si="182"/>
        <v>18150263.230123401</v>
      </c>
      <c r="W204" s="388">
        <f t="shared" ref="W204" si="183">IF(W202=0,0,SUM(W202:W203))</f>
        <v>0</v>
      </c>
      <c r="X204" s="388">
        <f t="shared" ref="X204" si="184">IF(X202=0,0,SUM(X202:X203))</f>
        <v>0</v>
      </c>
      <c r="Y204" s="388">
        <f t="shared" ref="Y204:Z204" si="185">IF(Y202=0,0,SUM(Y202:Y203))</f>
        <v>0</v>
      </c>
      <c r="Z204" s="388">
        <f t="shared" si="185"/>
        <v>0</v>
      </c>
      <c r="AA204" s="388">
        <f t="shared" ref="AA204" si="186">IF(AA202=0,0,SUM(AA202:AA203))</f>
        <v>0</v>
      </c>
      <c r="AB204" s="388">
        <f t="shared" ref="AB204" si="187">IF(AB202=0,0,SUM(AB202:AB203))</f>
        <v>0</v>
      </c>
      <c r="AC204" s="388">
        <f t="shared" ref="AC204:AD204" si="188">IF(AC202=0,0,SUM(AC202:AC203))</f>
        <v>0</v>
      </c>
      <c r="AD204" s="388">
        <f t="shared" si="188"/>
        <v>0</v>
      </c>
      <c r="AE204" s="388">
        <f t="shared" ref="AE204" si="189">IF(AE202=0,0,SUM(AE202:AE203))</f>
        <v>0</v>
      </c>
      <c r="AF204" s="388">
        <f t="shared" ref="AF204" si="190">IF(AF202=0,0,SUM(AF202:AF203))</f>
        <v>0</v>
      </c>
      <c r="AG204" s="388">
        <f t="shared" ref="AG204:AH204" si="191">IF(AG202=0,0,SUM(AG202:AG203))</f>
        <v>0</v>
      </c>
      <c r="AH204" s="388">
        <f t="shared" si="191"/>
        <v>0</v>
      </c>
      <c r="AI204" s="388">
        <f t="shared" ref="AI204" si="192">IF(AI202=0,0,SUM(AI202:AI203))</f>
        <v>0</v>
      </c>
      <c r="AJ204" s="388">
        <f t="shared" ref="AJ204" si="193">IF(AJ202=0,0,SUM(AJ202:AJ203))</f>
        <v>0</v>
      </c>
      <c r="AK204" s="388">
        <f t="shared" ref="AK204:AL204" si="194">IF(AK202=0,0,SUM(AK202:AK203))</f>
        <v>0</v>
      </c>
      <c r="AL204" s="388">
        <f t="shared" si="194"/>
        <v>0</v>
      </c>
      <c r="AM204" s="388">
        <f t="shared" ref="AM204" si="195">IF(AM202=0,0,SUM(AM202:AM203))</f>
        <v>0</v>
      </c>
    </row>
    <row r="205" spans="1:39" x14ac:dyDescent="0.3">
      <c r="A205" s="47"/>
      <c r="B205" s="47"/>
      <c r="C205" s="2"/>
      <c r="D205" s="107"/>
      <c r="E205" s="175"/>
      <c r="F205" s="175"/>
      <c r="G205" s="175"/>
      <c r="H205" s="175"/>
      <c r="I205" s="175"/>
      <c r="J205" s="175"/>
      <c r="K205" s="175"/>
      <c r="L205" s="175"/>
      <c r="M205" s="175"/>
      <c r="N205" s="175"/>
      <c r="O205" s="175"/>
      <c r="P205" s="175"/>
      <c r="Q205" s="175"/>
      <c r="R205" s="175"/>
      <c r="S205" s="175"/>
      <c r="T205" s="175"/>
      <c r="U205" s="175"/>
      <c r="V205" s="175"/>
      <c r="W205" s="175"/>
      <c r="X205" s="175"/>
      <c r="Y205" s="175"/>
      <c r="Z205" s="175"/>
      <c r="AA205" s="175"/>
      <c r="AB205" s="175"/>
      <c r="AC205" s="175"/>
      <c r="AD205" s="175"/>
      <c r="AE205" s="176"/>
      <c r="AF205" s="176"/>
      <c r="AG205" s="176"/>
      <c r="AH205" s="176"/>
      <c r="AI205" s="176"/>
      <c r="AJ205" s="176"/>
      <c r="AK205" s="176"/>
      <c r="AL205" s="176"/>
      <c r="AM205" s="176"/>
    </row>
    <row r="206" spans="1:39" x14ac:dyDescent="0.3">
      <c r="A206" s="47"/>
      <c r="B206" s="47"/>
      <c r="C206" s="2"/>
      <c r="D206" s="107"/>
      <c r="E206" s="175"/>
      <c r="F206" s="175"/>
      <c r="G206" s="175"/>
      <c r="H206" s="175"/>
      <c r="I206" s="175"/>
      <c r="J206" s="175"/>
      <c r="K206" s="175"/>
      <c r="L206" s="175"/>
      <c r="M206" s="175"/>
      <c r="N206" s="175"/>
      <c r="O206" s="175"/>
      <c r="P206" s="175"/>
      <c r="Q206" s="175"/>
      <c r="R206" s="175"/>
      <c r="S206" s="175"/>
      <c r="T206" s="175"/>
      <c r="U206" s="175"/>
      <c r="V206" s="175"/>
      <c r="W206" s="175"/>
      <c r="X206" s="175"/>
      <c r="Y206" s="175"/>
      <c r="Z206" s="175"/>
      <c r="AA206" s="175"/>
      <c r="AB206" s="175"/>
      <c r="AC206" s="175"/>
      <c r="AD206" s="175"/>
      <c r="AE206" s="176"/>
      <c r="AF206" s="176"/>
      <c r="AG206" s="176"/>
      <c r="AH206" s="176"/>
      <c r="AI206" s="176"/>
      <c r="AJ206" s="176"/>
      <c r="AK206" s="176"/>
      <c r="AL206" s="176"/>
      <c r="AM206" s="176"/>
    </row>
    <row r="207" spans="1:39" ht="21.6" x14ac:dyDescent="0.4">
      <c r="A207" s="47"/>
      <c r="B207" s="47"/>
      <c r="C207" s="106" t="s">
        <v>335</v>
      </c>
      <c r="D207" s="158"/>
      <c r="E207" s="175"/>
      <c r="F207" s="175"/>
      <c r="G207" s="175"/>
      <c r="H207" s="175"/>
      <c r="I207" s="175"/>
      <c r="J207" s="175"/>
      <c r="K207" s="175"/>
      <c r="L207" s="175"/>
      <c r="M207" s="175"/>
      <c r="N207" s="175"/>
      <c r="O207" s="175"/>
      <c r="P207" s="175"/>
      <c r="Q207" s="175"/>
      <c r="R207" s="175"/>
      <c r="S207" s="175"/>
      <c r="T207" s="175"/>
      <c r="U207" s="175"/>
      <c r="V207" s="175"/>
      <c r="W207" s="175"/>
      <c r="X207" s="175"/>
      <c r="Y207" s="175"/>
      <c r="Z207" s="175"/>
      <c r="AA207" s="175"/>
      <c r="AB207" s="175"/>
      <c r="AC207" s="175"/>
      <c r="AD207" s="175"/>
      <c r="AE207" s="175"/>
      <c r="AF207" s="175"/>
      <c r="AG207" s="175"/>
      <c r="AH207" s="175"/>
      <c r="AI207" s="175"/>
      <c r="AJ207" s="175"/>
      <c r="AK207" s="175"/>
      <c r="AL207" s="175"/>
      <c r="AM207" s="175"/>
    </row>
    <row r="208" spans="1:39" s="44" customFormat="1" x14ac:dyDescent="0.3">
      <c r="A208" s="47"/>
      <c r="B208" s="47"/>
      <c r="C208" s="47" t="s">
        <v>173</v>
      </c>
      <c r="D208" s="180" t="s">
        <v>214</v>
      </c>
      <c r="E208" s="164">
        <f t="shared" ref="E208:E229" si="196">SUM(F208:AM208)</f>
        <v>278961305.70930487</v>
      </c>
      <c r="F208" s="170">
        <f t="shared" ref="F208:AM208" si="197">F156</f>
        <v>0</v>
      </c>
      <c r="G208" s="170">
        <f t="shared" si="197"/>
        <v>0</v>
      </c>
      <c r="H208" s="170">
        <f t="shared" si="197"/>
        <v>0</v>
      </c>
      <c r="I208" s="170">
        <f t="shared" si="197"/>
        <v>0</v>
      </c>
      <c r="J208" s="170">
        <f t="shared" si="197"/>
        <v>4041373.4748107381</v>
      </c>
      <c r="K208" s="170">
        <f t="shared" si="197"/>
        <v>5388497.9664143175</v>
      </c>
      <c r="L208" s="170">
        <f t="shared" si="197"/>
        <v>5730051.417159508</v>
      </c>
      <c r="M208" s="170">
        <f t="shared" si="197"/>
        <v>5826428.2104328489</v>
      </c>
      <c r="N208" s="170">
        <f t="shared" si="197"/>
        <v>6162086.325855921</v>
      </c>
      <c r="O208" s="170">
        <f t="shared" si="197"/>
        <v>6262356.7415775042</v>
      </c>
      <c r="P208" s="170">
        <f t="shared" si="197"/>
        <v>6619677.294453972</v>
      </c>
      <c r="Q208" s="170">
        <f t="shared" si="197"/>
        <v>6722941.5665168799</v>
      </c>
      <c r="R208" s="170">
        <f t="shared" si="197"/>
        <v>7101984.5544584068</v>
      </c>
      <c r="S208" s="170">
        <f t="shared" si="197"/>
        <v>7209420.7031126535</v>
      </c>
      <c r="T208" s="170">
        <f t="shared" si="197"/>
        <v>7612457.8685782831</v>
      </c>
      <c r="U208" s="170">
        <f t="shared" si="197"/>
        <v>7724234.437638158</v>
      </c>
      <c r="V208" s="170">
        <f t="shared" si="197"/>
        <v>8197579.7829282973</v>
      </c>
      <c r="W208" s="170">
        <f t="shared" si="197"/>
        <v>8358866.0569378566</v>
      </c>
      <c r="X208" s="170">
        <f t="shared" si="197"/>
        <v>8864366.4851176888</v>
      </c>
      <c r="Y208" s="170">
        <f t="shared" si="197"/>
        <v>9032168.7245972324</v>
      </c>
      <c r="Z208" s="170">
        <f t="shared" si="197"/>
        <v>9571649.7910254784</v>
      </c>
      <c r="AA208" s="170">
        <f t="shared" si="197"/>
        <v>9833799.5279549267</v>
      </c>
      <c r="AB208" s="170">
        <f t="shared" si="197"/>
        <v>10503825.615185706</v>
      </c>
      <c r="AC208" s="170">
        <f t="shared" si="197"/>
        <v>10776566.201487105</v>
      </c>
      <c r="AD208" s="170">
        <f t="shared" si="197"/>
        <v>11495698.782015158</v>
      </c>
      <c r="AE208" s="170">
        <f t="shared" si="197"/>
        <v>11779458.088003136</v>
      </c>
      <c r="AF208" s="170">
        <f t="shared" si="197"/>
        <v>12255348.194758466</v>
      </c>
      <c r="AG208" s="170">
        <f t="shared" si="197"/>
        <v>12255348.194758466</v>
      </c>
      <c r="AH208" s="170">
        <f t="shared" si="197"/>
        <v>12750464.261826705</v>
      </c>
      <c r="AI208" s="170">
        <f t="shared" si="197"/>
        <v>12750464.261826705</v>
      </c>
      <c r="AJ208" s="170">
        <f t="shared" si="197"/>
        <v>13265583.018004503</v>
      </c>
      <c r="AK208" s="170">
        <f t="shared" si="197"/>
        <v>13265583.018004503</v>
      </c>
      <c r="AL208" s="170">
        <f t="shared" si="197"/>
        <v>13801512.571931884</v>
      </c>
      <c r="AM208" s="170">
        <f t="shared" si="197"/>
        <v>13801512.571931884</v>
      </c>
    </row>
    <row r="209" spans="1:39" s="44" customFormat="1" x14ac:dyDescent="0.3">
      <c r="A209" s="47"/>
      <c r="B209" s="47"/>
      <c r="C209" s="47" t="s">
        <v>130</v>
      </c>
      <c r="D209" s="180" t="s">
        <v>214</v>
      </c>
      <c r="E209" s="164">
        <f t="shared" si="196"/>
        <v>-256197223.15754405</v>
      </c>
      <c r="F209" s="170">
        <f t="shared" ref="F209:AM209" si="198">-F160</f>
        <v>0</v>
      </c>
      <c r="G209" s="170">
        <f t="shared" si="198"/>
        <v>0</v>
      </c>
      <c r="H209" s="170">
        <f t="shared" si="198"/>
        <v>0</v>
      </c>
      <c r="I209" s="170">
        <f t="shared" si="198"/>
        <v>0</v>
      </c>
      <c r="J209" s="170">
        <f t="shared" si="198"/>
        <v>-4579224.8709058398</v>
      </c>
      <c r="K209" s="170">
        <f t="shared" si="198"/>
        <v>-3665024.2527951486</v>
      </c>
      <c r="L209" s="170">
        <f t="shared" si="198"/>
        <v>-4810074.6808413127</v>
      </c>
      <c r="M209" s="170">
        <f t="shared" si="198"/>
        <v>-4922752.6637038086</v>
      </c>
      <c r="N209" s="170">
        <f t="shared" si="198"/>
        <v>-12870721.787841758</v>
      </c>
      <c r="O209" s="170">
        <f t="shared" si="198"/>
        <v>-5156308.0742966067</v>
      </c>
      <c r="P209" s="170">
        <f t="shared" si="198"/>
        <v>-5277321.0760550471</v>
      </c>
      <c r="Q209" s="170">
        <f t="shared" si="198"/>
        <v>-5401250.8591650324</v>
      </c>
      <c r="R209" s="170">
        <f t="shared" si="198"/>
        <v>-5528169.5791431032</v>
      </c>
      <c r="S209" s="170">
        <f t="shared" si="198"/>
        <v>-14264196.486164518</v>
      </c>
      <c r="T209" s="170">
        <f t="shared" si="198"/>
        <v>-5791271.6462824829</v>
      </c>
      <c r="U209" s="170">
        <f t="shared" si="198"/>
        <v>-5927608.6425757455</v>
      </c>
      <c r="V209" s="170">
        <f t="shared" si="198"/>
        <v>-6067241.9726887867</v>
      </c>
      <c r="W209" s="170">
        <f t="shared" si="198"/>
        <v>-6210253.4263689686</v>
      </c>
      <c r="X209" s="170">
        <f t="shared" si="198"/>
        <v>-15812619.472109525</v>
      </c>
      <c r="Y209" s="170">
        <f t="shared" si="198"/>
        <v>-6506748.3151444681</v>
      </c>
      <c r="Z209" s="170">
        <f t="shared" si="198"/>
        <v>-6660405.945101901</v>
      </c>
      <c r="AA209" s="170">
        <f t="shared" si="198"/>
        <v>-6817790.2008317355</v>
      </c>
      <c r="AB209" s="170">
        <f t="shared" si="198"/>
        <v>-6978993.824970345</v>
      </c>
      <c r="AC209" s="170">
        <f t="shared" si="198"/>
        <v>-17533777.566125192</v>
      </c>
      <c r="AD209" s="170">
        <f t="shared" si="198"/>
        <v>-7313242.0337353684</v>
      </c>
      <c r="AE209" s="170">
        <f t="shared" si="198"/>
        <v>-7486484.1749081584</v>
      </c>
      <c r="AF209" s="170">
        <f t="shared" si="198"/>
        <v>-7663940.9258228224</v>
      </c>
      <c r="AG209" s="170">
        <f t="shared" si="198"/>
        <v>-7845717.4852003111</v>
      </c>
      <c r="AH209" s="170">
        <f t="shared" si="198"/>
        <v>-19447574.458876446</v>
      </c>
      <c r="AI209" s="170">
        <f t="shared" si="198"/>
        <v>-8222664.3427790459</v>
      </c>
      <c r="AJ209" s="170">
        <f t="shared" si="198"/>
        <v>-8418058.7697174083</v>
      </c>
      <c r="AK209" s="170">
        <f t="shared" si="198"/>
        <v>-8618221.4088436104</v>
      </c>
      <c r="AL209" s="170">
        <f t="shared" si="198"/>
        <v>-8823271.6290291194</v>
      </c>
      <c r="AM209" s="170">
        <f t="shared" si="198"/>
        <v>-21576292.585520405</v>
      </c>
    </row>
    <row r="210" spans="1:39" s="44" customFormat="1" x14ac:dyDescent="0.3">
      <c r="A210" s="47"/>
      <c r="B210" s="47"/>
      <c r="C210" s="47" t="s">
        <v>177</v>
      </c>
      <c r="D210" s="180" t="s">
        <v>214</v>
      </c>
      <c r="E210" s="164">
        <f t="shared" si="196"/>
        <v>22764082.551760871</v>
      </c>
      <c r="F210" s="169">
        <f>SUM(F208:F209)</f>
        <v>0</v>
      </c>
      <c r="G210" s="169">
        <f>SUM(G208:G209)</f>
        <v>0</v>
      </c>
      <c r="H210" s="169">
        <f t="shared" ref="H210:AM210" si="199">SUM(H208:H209)</f>
        <v>0</v>
      </c>
      <c r="I210" s="169">
        <f t="shared" si="199"/>
        <v>0</v>
      </c>
      <c r="J210" s="169">
        <f t="shared" si="199"/>
        <v>-537851.39609510172</v>
      </c>
      <c r="K210" s="169">
        <f t="shared" si="199"/>
        <v>1723473.7136191688</v>
      </c>
      <c r="L210" s="169">
        <f t="shared" si="199"/>
        <v>919976.73631819524</v>
      </c>
      <c r="M210" s="169">
        <f t="shared" si="199"/>
        <v>903675.54672904033</v>
      </c>
      <c r="N210" s="169">
        <f t="shared" si="199"/>
        <v>-6708635.4619858367</v>
      </c>
      <c r="O210" s="169">
        <f t="shared" si="199"/>
        <v>1106048.6672808975</v>
      </c>
      <c r="P210" s="169">
        <f t="shared" si="199"/>
        <v>1342356.2183989249</v>
      </c>
      <c r="Q210" s="169">
        <f t="shared" si="199"/>
        <v>1321690.7073518476</v>
      </c>
      <c r="R210" s="169">
        <f t="shared" si="199"/>
        <v>1573814.9753153035</v>
      </c>
      <c r="S210" s="169">
        <f t="shared" si="199"/>
        <v>-7054775.7830518642</v>
      </c>
      <c r="T210" s="169">
        <f t="shared" si="199"/>
        <v>1821186.2222958002</v>
      </c>
      <c r="U210" s="169">
        <f t="shared" si="199"/>
        <v>1796625.7950624125</v>
      </c>
      <c r="V210" s="169">
        <f t="shared" si="199"/>
        <v>2130337.8102395106</v>
      </c>
      <c r="W210" s="169">
        <f t="shared" si="199"/>
        <v>2148612.630568888</v>
      </c>
      <c r="X210" s="169">
        <f t="shared" si="199"/>
        <v>-6948252.9869918358</v>
      </c>
      <c r="Y210" s="169">
        <f t="shared" si="199"/>
        <v>2525420.4094527643</v>
      </c>
      <c r="Z210" s="169">
        <f t="shared" si="199"/>
        <v>2911243.8459235774</v>
      </c>
      <c r="AA210" s="169">
        <f t="shared" si="199"/>
        <v>3016009.3271231912</v>
      </c>
      <c r="AB210" s="169">
        <f t="shared" si="199"/>
        <v>3524831.7902153609</v>
      </c>
      <c r="AC210" s="169">
        <f t="shared" si="199"/>
        <v>-6757211.3646380864</v>
      </c>
      <c r="AD210" s="169">
        <f t="shared" si="199"/>
        <v>4182456.7482797895</v>
      </c>
      <c r="AE210" s="169">
        <f t="shared" si="199"/>
        <v>4292973.9130949778</v>
      </c>
      <c r="AF210" s="169">
        <f t="shared" si="199"/>
        <v>4591407.2689356431</v>
      </c>
      <c r="AG210" s="169">
        <f t="shared" si="199"/>
        <v>4409630.7095581545</v>
      </c>
      <c r="AH210" s="169">
        <f t="shared" si="199"/>
        <v>-6697110.1970497407</v>
      </c>
      <c r="AI210" s="169">
        <f t="shared" si="199"/>
        <v>4527799.9190476593</v>
      </c>
      <c r="AJ210" s="169">
        <f t="shared" si="199"/>
        <v>4847524.2482870948</v>
      </c>
      <c r="AK210" s="169">
        <f t="shared" si="199"/>
        <v>4647361.6091608927</v>
      </c>
      <c r="AL210" s="169">
        <f t="shared" si="199"/>
        <v>4978240.9429027643</v>
      </c>
      <c r="AM210" s="169">
        <f t="shared" si="199"/>
        <v>-7774780.0135885216</v>
      </c>
    </row>
    <row r="211" spans="1:39" s="44" customFormat="1" x14ac:dyDescent="0.3">
      <c r="A211" s="47"/>
      <c r="B211" s="47"/>
      <c r="C211" s="47" t="s">
        <v>243</v>
      </c>
      <c r="D211" s="180" t="s">
        <v>214</v>
      </c>
      <c r="E211" s="164">
        <f t="shared" si="196"/>
        <v>-35625.012245197402</v>
      </c>
      <c r="F211" s="177">
        <f>'Global Financial Model'!C90</f>
        <v>0</v>
      </c>
      <c r="G211" s="177">
        <f>'Global Financial Model'!D90</f>
        <v>0</v>
      </c>
      <c r="H211" s="177">
        <f>'Global Financial Model'!E90</f>
        <v>0</v>
      </c>
      <c r="I211" s="177">
        <f>'Global Financial Model'!F90</f>
        <v>0</v>
      </c>
      <c r="J211" s="177">
        <f>'Global Financial Model'!G90</f>
        <v>0</v>
      </c>
      <c r="K211" s="177">
        <f>'Global Financial Model'!H90</f>
        <v>0</v>
      </c>
      <c r="L211" s="177">
        <f>'Global Financial Model'!I90</f>
        <v>0</v>
      </c>
      <c r="M211" s="177">
        <f>'Global Financial Model'!J90</f>
        <v>0</v>
      </c>
      <c r="N211" s="177">
        <f>'Global Financial Model'!K90</f>
        <v>0</v>
      </c>
      <c r="O211" s="177">
        <f>'Global Financial Model'!L90</f>
        <v>0</v>
      </c>
      <c r="P211" s="177">
        <f>'Global Financial Model'!M90</f>
        <v>0</v>
      </c>
      <c r="Q211" s="177">
        <f>'Global Financial Model'!N90</f>
        <v>0</v>
      </c>
      <c r="R211" s="177">
        <f>'Global Financial Model'!O90</f>
        <v>0</v>
      </c>
      <c r="S211" s="177">
        <f>'Global Financial Model'!P90</f>
        <v>0</v>
      </c>
      <c r="T211" s="177">
        <f>'Global Financial Model'!Q90</f>
        <v>0</v>
      </c>
      <c r="U211" s="177">
        <f>'Global Financial Model'!R90</f>
        <v>0</v>
      </c>
      <c r="V211" s="177">
        <f>'Global Financial Model'!S90</f>
        <v>0</v>
      </c>
      <c r="W211" s="177">
        <f>'Global Financial Model'!T90</f>
        <v>0</v>
      </c>
      <c r="X211" s="177">
        <f>'Global Financial Model'!U90</f>
        <v>0</v>
      </c>
      <c r="Y211" s="177">
        <f>'Global Financial Model'!V90</f>
        <v>0</v>
      </c>
      <c r="Z211" s="177">
        <f>'Global Financial Model'!W90</f>
        <v>0</v>
      </c>
      <c r="AA211" s="177">
        <f>'Global Financial Model'!X90</f>
        <v>0</v>
      </c>
      <c r="AB211" s="177">
        <f>'Global Financial Model'!Y90</f>
        <v>0</v>
      </c>
      <c r="AC211" s="177">
        <f>'Global Financial Model'!Z90</f>
        <v>0</v>
      </c>
      <c r="AD211" s="177">
        <f>'Global Financial Model'!AA90</f>
        <v>0</v>
      </c>
      <c r="AE211" s="177">
        <f>'Global Financial Model'!AB90</f>
        <v>0</v>
      </c>
      <c r="AF211" s="177">
        <f>'Global Financial Model'!AC90</f>
        <v>0</v>
      </c>
      <c r="AG211" s="177">
        <f>'Global Financial Model'!AD90</f>
        <v>0</v>
      </c>
      <c r="AH211" s="177">
        <f>'Global Financial Model'!AE90</f>
        <v>0</v>
      </c>
      <c r="AI211" s="177">
        <f>'Global Financial Model'!AF90</f>
        <v>0</v>
      </c>
      <c r="AJ211" s="177">
        <f>'Global Financial Model'!AG90</f>
        <v>0</v>
      </c>
      <c r="AK211" s="177">
        <f>'Global Financial Model'!AH90</f>
        <v>0</v>
      </c>
      <c r="AL211" s="177">
        <f>'Global Financial Model'!AI90</f>
        <v>-35625.012245197402</v>
      </c>
      <c r="AM211" s="177">
        <f>'Global Financial Model'!AJ90</f>
        <v>0</v>
      </c>
    </row>
    <row r="212" spans="1:39" s="44" customFormat="1" x14ac:dyDescent="0.3">
      <c r="A212" s="47"/>
      <c r="B212" s="47"/>
      <c r="C212" s="47" t="s">
        <v>232</v>
      </c>
      <c r="D212" s="180" t="s">
        <v>214</v>
      </c>
      <c r="E212" s="164">
        <f t="shared" si="196"/>
        <v>-201929786.12717825</v>
      </c>
      <c r="F212" s="170">
        <f t="shared" ref="F212:AM212" si="200">-F114</f>
        <v>-8360015.7805858571</v>
      </c>
      <c r="G212" s="170">
        <f t="shared" si="200"/>
        <v>-34483054.828158148</v>
      </c>
      <c r="H212" s="170">
        <f t="shared" si="200"/>
        <v>-90904333.468190819</v>
      </c>
      <c r="I212" s="170">
        <f>-I114+I110</f>
        <v>-36263707.585495777</v>
      </c>
      <c r="J212" s="170">
        <f t="shared" si="200"/>
        <v>0</v>
      </c>
      <c r="K212" s="170">
        <f t="shared" si="200"/>
        <v>0</v>
      </c>
      <c r="L212" s="170">
        <f t="shared" si="200"/>
        <v>0</v>
      </c>
      <c r="M212" s="170">
        <f t="shared" si="200"/>
        <v>0</v>
      </c>
      <c r="N212" s="170">
        <f t="shared" si="200"/>
        <v>0</v>
      </c>
      <c r="O212" s="170">
        <f t="shared" si="200"/>
        <v>0</v>
      </c>
      <c r="P212" s="170">
        <f t="shared" si="200"/>
        <v>0</v>
      </c>
      <c r="Q212" s="170">
        <f t="shared" si="200"/>
        <v>0</v>
      </c>
      <c r="R212" s="170">
        <f t="shared" si="200"/>
        <v>0</v>
      </c>
      <c r="S212" s="170">
        <f t="shared" si="200"/>
        <v>-2785806.5330999955</v>
      </c>
      <c r="T212" s="170">
        <f t="shared" si="200"/>
        <v>-3525445.1348124668</v>
      </c>
      <c r="U212" s="170">
        <f t="shared" si="200"/>
        <v>0</v>
      </c>
      <c r="V212" s="170">
        <f t="shared" si="200"/>
        <v>0</v>
      </c>
      <c r="W212" s="170">
        <f t="shared" si="200"/>
        <v>0</v>
      </c>
      <c r="X212" s="170">
        <f t="shared" si="200"/>
        <v>-3236573.2831895668</v>
      </c>
      <c r="Y212" s="170">
        <f t="shared" si="200"/>
        <v>-9893542.6600298993</v>
      </c>
      <c r="Z212" s="170">
        <f t="shared" si="200"/>
        <v>-4645828.0030432567</v>
      </c>
      <c r="AA212" s="170">
        <f t="shared" si="200"/>
        <v>0</v>
      </c>
      <c r="AB212" s="170">
        <f t="shared" si="200"/>
        <v>0</v>
      </c>
      <c r="AC212" s="170">
        <f t="shared" si="200"/>
        <v>0</v>
      </c>
      <c r="AD212" s="170">
        <f t="shared" si="200"/>
        <v>-3456836.540557222</v>
      </c>
      <c r="AE212" s="170">
        <f t="shared" si="200"/>
        <v>-4374642.3100152342</v>
      </c>
      <c r="AF212" s="170">
        <f t="shared" si="200"/>
        <v>0</v>
      </c>
      <c r="AG212" s="170">
        <f t="shared" si="200"/>
        <v>0</v>
      </c>
      <c r="AH212" s="170">
        <f t="shared" si="200"/>
        <v>0</v>
      </c>
      <c r="AI212" s="170">
        <f t="shared" si="200"/>
        <v>0</v>
      </c>
      <c r="AJ212" s="170">
        <f t="shared" si="200"/>
        <v>0</v>
      </c>
      <c r="AK212" s="170">
        <f t="shared" si="200"/>
        <v>0</v>
      </c>
      <c r="AL212" s="170">
        <f t="shared" si="200"/>
        <v>0</v>
      </c>
      <c r="AM212" s="170">
        <f t="shared" si="200"/>
        <v>0</v>
      </c>
    </row>
    <row r="213" spans="1:39" s="44" customFormat="1" x14ac:dyDescent="0.3">
      <c r="A213" s="47"/>
      <c r="B213" s="47"/>
      <c r="C213" s="47" t="s">
        <v>353</v>
      </c>
      <c r="D213" s="180" t="s">
        <v>214</v>
      </c>
      <c r="E213" s="164"/>
      <c r="F213" s="170">
        <f>-F110</f>
        <v>0</v>
      </c>
      <c r="G213" s="170">
        <f>-G110</f>
        <v>0</v>
      </c>
      <c r="H213" s="170">
        <f t="shared" ref="H213:AM213" si="201">-H110</f>
        <v>0</v>
      </c>
      <c r="I213" s="170">
        <f t="shared" si="201"/>
        <v>-100000</v>
      </c>
      <c r="J213" s="170">
        <f t="shared" si="201"/>
        <v>0</v>
      </c>
      <c r="K213" s="170">
        <f t="shared" si="201"/>
        <v>0</v>
      </c>
      <c r="L213" s="170">
        <f t="shared" si="201"/>
        <v>0</v>
      </c>
      <c r="M213" s="170">
        <f t="shared" si="201"/>
        <v>0</v>
      </c>
      <c r="N213" s="170">
        <f t="shared" si="201"/>
        <v>0</v>
      </c>
      <c r="O213" s="170">
        <f t="shared" si="201"/>
        <v>0</v>
      </c>
      <c r="P213" s="170">
        <f t="shared" si="201"/>
        <v>0</v>
      </c>
      <c r="Q213" s="170">
        <f t="shared" si="201"/>
        <v>0</v>
      </c>
      <c r="R213" s="170">
        <f t="shared" si="201"/>
        <v>0</v>
      </c>
      <c r="S213" s="170">
        <f t="shared" si="201"/>
        <v>0</v>
      </c>
      <c r="T213" s="170">
        <f t="shared" si="201"/>
        <v>0</v>
      </c>
      <c r="U213" s="170">
        <f t="shared" si="201"/>
        <v>0</v>
      </c>
      <c r="V213" s="170">
        <f t="shared" si="201"/>
        <v>0</v>
      </c>
      <c r="W213" s="170">
        <f t="shared" si="201"/>
        <v>0</v>
      </c>
      <c r="X213" s="170">
        <f t="shared" si="201"/>
        <v>0</v>
      </c>
      <c r="Y213" s="170">
        <f t="shared" si="201"/>
        <v>0</v>
      </c>
      <c r="Z213" s="170">
        <f t="shared" si="201"/>
        <v>0</v>
      </c>
      <c r="AA213" s="170">
        <f t="shared" si="201"/>
        <v>0</v>
      </c>
      <c r="AB213" s="170">
        <f t="shared" si="201"/>
        <v>0</v>
      </c>
      <c r="AC213" s="170">
        <f t="shared" si="201"/>
        <v>0</v>
      </c>
      <c r="AD213" s="170">
        <f t="shared" si="201"/>
        <v>0</v>
      </c>
      <c r="AE213" s="170">
        <f t="shared" si="201"/>
        <v>0</v>
      </c>
      <c r="AF213" s="170">
        <f t="shared" si="201"/>
        <v>0</v>
      </c>
      <c r="AG213" s="170">
        <f t="shared" si="201"/>
        <v>0</v>
      </c>
      <c r="AH213" s="170">
        <f t="shared" si="201"/>
        <v>0</v>
      </c>
      <c r="AI213" s="170">
        <f t="shared" si="201"/>
        <v>0</v>
      </c>
      <c r="AJ213" s="170">
        <f t="shared" si="201"/>
        <v>0</v>
      </c>
      <c r="AK213" s="170">
        <f t="shared" si="201"/>
        <v>0</v>
      </c>
      <c r="AL213" s="170">
        <f t="shared" si="201"/>
        <v>0</v>
      </c>
      <c r="AM213" s="170">
        <f t="shared" si="201"/>
        <v>0</v>
      </c>
    </row>
    <row r="214" spans="1:39" s="181" customFormat="1" x14ac:dyDescent="0.3">
      <c r="A214" s="179"/>
      <c r="B214" s="179"/>
      <c r="C214" s="179" t="s">
        <v>178</v>
      </c>
      <c r="D214" s="180" t="s">
        <v>214</v>
      </c>
      <c r="E214" s="164">
        <f t="shared" si="196"/>
        <v>-179301328.58766252</v>
      </c>
      <c r="F214" s="410">
        <f>SUM(F210:F213)</f>
        <v>-8360015.7805858571</v>
      </c>
      <c r="G214" s="411">
        <f>SUM(G210:G213)</f>
        <v>-34483054.828158148</v>
      </c>
      <c r="H214" s="411">
        <f t="shared" ref="H214:AM214" si="202">SUM(H210:H213)</f>
        <v>-90904333.468190819</v>
      </c>
      <c r="I214" s="411">
        <f t="shared" si="202"/>
        <v>-36363707.585495777</v>
      </c>
      <c r="J214" s="411">
        <f t="shared" si="202"/>
        <v>-537851.39609510172</v>
      </c>
      <c r="K214" s="411">
        <f t="shared" si="202"/>
        <v>1723473.7136191688</v>
      </c>
      <c r="L214" s="411">
        <f t="shared" si="202"/>
        <v>919976.73631819524</v>
      </c>
      <c r="M214" s="411">
        <f t="shared" si="202"/>
        <v>903675.54672904033</v>
      </c>
      <c r="N214" s="411">
        <f t="shared" si="202"/>
        <v>-6708635.4619858367</v>
      </c>
      <c r="O214" s="411">
        <f t="shared" si="202"/>
        <v>1106048.6672808975</v>
      </c>
      <c r="P214" s="411">
        <f t="shared" si="202"/>
        <v>1342356.2183989249</v>
      </c>
      <c r="Q214" s="411">
        <f t="shared" si="202"/>
        <v>1321690.7073518476</v>
      </c>
      <c r="R214" s="411">
        <f t="shared" si="202"/>
        <v>1573814.9753153035</v>
      </c>
      <c r="S214" s="411">
        <f t="shared" si="202"/>
        <v>-9840582.3161518592</v>
      </c>
      <c r="T214" s="411">
        <f t="shared" si="202"/>
        <v>-1704258.9125166666</v>
      </c>
      <c r="U214" s="411">
        <f t="shared" si="202"/>
        <v>1796625.7950624125</v>
      </c>
      <c r="V214" s="411">
        <f t="shared" si="202"/>
        <v>2130337.8102395106</v>
      </c>
      <c r="W214" s="411">
        <f t="shared" si="202"/>
        <v>2148612.630568888</v>
      </c>
      <c r="X214" s="411">
        <f t="shared" si="202"/>
        <v>-10184826.270181403</v>
      </c>
      <c r="Y214" s="411">
        <f t="shared" si="202"/>
        <v>-7368122.250577135</v>
      </c>
      <c r="Z214" s="411">
        <f t="shared" si="202"/>
        <v>-1734584.1571196793</v>
      </c>
      <c r="AA214" s="411">
        <f t="shared" si="202"/>
        <v>3016009.3271231912</v>
      </c>
      <c r="AB214" s="411">
        <f t="shared" si="202"/>
        <v>3524831.7902153609</v>
      </c>
      <c r="AC214" s="411">
        <f t="shared" si="202"/>
        <v>-6757211.3646380864</v>
      </c>
      <c r="AD214" s="411">
        <f t="shared" si="202"/>
        <v>725620.20772256749</v>
      </c>
      <c r="AE214" s="411">
        <f t="shared" si="202"/>
        <v>-81668.396920256317</v>
      </c>
      <c r="AF214" s="411">
        <f t="shared" si="202"/>
        <v>4591407.2689356431</v>
      </c>
      <c r="AG214" s="411">
        <f t="shared" si="202"/>
        <v>4409630.7095581545</v>
      </c>
      <c r="AH214" s="411">
        <f t="shared" si="202"/>
        <v>-6697110.1970497407</v>
      </c>
      <c r="AI214" s="411">
        <f t="shared" si="202"/>
        <v>4527799.9190476593</v>
      </c>
      <c r="AJ214" s="411">
        <f t="shared" si="202"/>
        <v>4847524.2482870948</v>
      </c>
      <c r="AK214" s="411">
        <f t="shared" si="202"/>
        <v>4647361.6091608927</v>
      </c>
      <c r="AL214" s="411">
        <f t="shared" si="202"/>
        <v>4942615.9306575665</v>
      </c>
      <c r="AM214" s="411">
        <f t="shared" si="202"/>
        <v>-7774780.0135885216</v>
      </c>
    </row>
    <row r="215" spans="1:39" s="44" customFormat="1" x14ac:dyDescent="0.3">
      <c r="A215" s="47"/>
      <c r="B215" s="47"/>
      <c r="C215" s="47" t="s">
        <v>289</v>
      </c>
      <c r="D215" s="180" t="s">
        <v>214</v>
      </c>
      <c r="E215" s="164">
        <f t="shared" si="196"/>
        <v>170109410.551314</v>
      </c>
      <c r="F215" s="165">
        <f t="shared" ref="F215:AM215" si="203">-F116</f>
        <v>8359932.1804280514</v>
      </c>
      <c r="G215" s="165">
        <f t="shared" si="203"/>
        <v>34482709.997609869</v>
      </c>
      <c r="H215" s="165">
        <f t="shared" si="203"/>
        <v>90903424.424856141</v>
      </c>
      <c r="I215" s="165">
        <f t="shared" si="203"/>
        <v>36363343.948419921</v>
      </c>
      <c r="J215" s="165">
        <f t="shared" si="203"/>
        <v>0</v>
      </c>
      <c r="K215" s="165">
        <f t="shared" si="203"/>
        <v>0</v>
      </c>
      <c r="L215" s="165">
        <f t="shared" si="203"/>
        <v>0</v>
      </c>
      <c r="M215" s="165">
        <f t="shared" si="203"/>
        <v>0</v>
      </c>
      <c r="N215" s="165">
        <f t="shared" si="203"/>
        <v>0</v>
      </c>
      <c r="O215" s="165">
        <f t="shared" si="203"/>
        <v>0</v>
      </c>
      <c r="P215" s="165">
        <f t="shared" si="203"/>
        <v>0</v>
      </c>
      <c r="Q215" s="165">
        <f t="shared" si="203"/>
        <v>0</v>
      </c>
      <c r="R215" s="165">
        <f t="shared" si="203"/>
        <v>0</v>
      </c>
      <c r="S215" s="165">
        <f t="shared" si="203"/>
        <v>0</v>
      </c>
      <c r="T215" s="165">
        <f t="shared" si="203"/>
        <v>0</v>
      </c>
      <c r="U215" s="165">
        <f t="shared" si="203"/>
        <v>0</v>
      </c>
      <c r="V215" s="165">
        <f t="shared" si="203"/>
        <v>0</v>
      </c>
      <c r="W215" s="165">
        <f t="shared" si="203"/>
        <v>0</v>
      </c>
      <c r="X215" s="165">
        <f t="shared" si="203"/>
        <v>0</v>
      </c>
      <c r="Y215" s="165">
        <f t="shared" si="203"/>
        <v>0</v>
      </c>
      <c r="Z215" s="165">
        <f t="shared" si="203"/>
        <v>0</v>
      </c>
      <c r="AA215" s="165">
        <f t="shared" si="203"/>
        <v>0</v>
      </c>
      <c r="AB215" s="165">
        <f t="shared" si="203"/>
        <v>0</v>
      </c>
      <c r="AC215" s="165">
        <f t="shared" si="203"/>
        <v>0</v>
      </c>
      <c r="AD215" s="165">
        <f t="shared" si="203"/>
        <v>0</v>
      </c>
      <c r="AE215" s="165">
        <f t="shared" si="203"/>
        <v>0</v>
      </c>
      <c r="AF215" s="165">
        <f t="shared" si="203"/>
        <v>0</v>
      </c>
      <c r="AG215" s="165">
        <f t="shared" si="203"/>
        <v>0</v>
      </c>
      <c r="AH215" s="165">
        <f t="shared" si="203"/>
        <v>0</v>
      </c>
      <c r="AI215" s="165">
        <f t="shared" si="203"/>
        <v>0</v>
      </c>
      <c r="AJ215" s="165">
        <f t="shared" si="203"/>
        <v>0</v>
      </c>
      <c r="AK215" s="165">
        <f t="shared" si="203"/>
        <v>0</v>
      </c>
      <c r="AL215" s="165">
        <f t="shared" si="203"/>
        <v>0</v>
      </c>
      <c r="AM215" s="165">
        <f t="shared" si="203"/>
        <v>0</v>
      </c>
    </row>
    <row r="216" spans="1:39" s="44" customFormat="1" x14ac:dyDescent="0.3">
      <c r="A216" s="47"/>
      <c r="B216" s="47"/>
      <c r="C216" s="47" t="s">
        <v>290</v>
      </c>
      <c r="D216" s="180" t="s">
        <v>214</v>
      </c>
      <c r="E216" s="164">
        <f t="shared" si="196"/>
        <v>18006245.498679101</v>
      </c>
      <c r="F216" s="165">
        <f>+F157</f>
        <v>0</v>
      </c>
      <c r="G216" s="165">
        <f>+G157</f>
        <v>0</v>
      </c>
      <c r="H216" s="165">
        <f t="shared" ref="H216:AM216" si="204">+H157</f>
        <v>0</v>
      </c>
      <c r="I216" s="165">
        <f t="shared" si="204"/>
        <v>0</v>
      </c>
      <c r="J216" s="165">
        <f t="shared" si="204"/>
        <v>441740.53437499993</v>
      </c>
      <c r="K216" s="165">
        <f t="shared" si="204"/>
        <v>452784.04773437488</v>
      </c>
      <c r="L216" s="165">
        <f t="shared" si="204"/>
        <v>461839.72868906241</v>
      </c>
      <c r="M216" s="165">
        <f t="shared" si="204"/>
        <v>471076.52326284366</v>
      </c>
      <c r="N216" s="165">
        <f t="shared" si="204"/>
        <v>480498.05372810055</v>
      </c>
      <c r="O216" s="165">
        <f t="shared" si="204"/>
        <v>490108.0148026626</v>
      </c>
      <c r="P216" s="165">
        <f t="shared" si="204"/>
        <v>499910.17509871587</v>
      </c>
      <c r="Q216" s="165">
        <f t="shared" si="204"/>
        <v>509908.37860069022</v>
      </c>
      <c r="R216" s="165">
        <f t="shared" si="204"/>
        <v>520106.54617270402</v>
      </c>
      <c r="S216" s="165">
        <f t="shared" si="204"/>
        <v>530508.67709615815</v>
      </c>
      <c r="T216" s="165">
        <f t="shared" si="204"/>
        <v>541118.85063808132</v>
      </c>
      <c r="U216" s="165">
        <f t="shared" si="204"/>
        <v>551941.22765084298</v>
      </c>
      <c r="V216" s="165">
        <f t="shared" si="204"/>
        <v>562980.0522038599</v>
      </c>
      <c r="W216" s="165">
        <f t="shared" si="204"/>
        <v>574239.65324793709</v>
      </c>
      <c r="X216" s="165">
        <f t="shared" si="204"/>
        <v>585724.44631289586</v>
      </c>
      <c r="Y216" s="165">
        <f t="shared" si="204"/>
        <v>597438.9352391538</v>
      </c>
      <c r="Z216" s="165">
        <f t="shared" si="204"/>
        <v>609387.71394393686</v>
      </c>
      <c r="AA216" s="165">
        <f t="shared" si="204"/>
        <v>621575.46822281566</v>
      </c>
      <c r="AB216" s="165">
        <f t="shared" si="204"/>
        <v>634006.97758727195</v>
      </c>
      <c r="AC216" s="165">
        <f t="shared" si="204"/>
        <v>646687.11713901744</v>
      </c>
      <c r="AD216" s="165">
        <f t="shared" si="204"/>
        <v>659620.85948179779</v>
      </c>
      <c r="AE216" s="165">
        <f t="shared" si="204"/>
        <v>672813.2766714337</v>
      </c>
      <c r="AF216" s="165">
        <f t="shared" si="204"/>
        <v>686269.54220486234</v>
      </c>
      <c r="AG216" s="165">
        <f t="shared" si="204"/>
        <v>699994.93304895959</v>
      </c>
      <c r="AH216" s="165">
        <f t="shared" si="204"/>
        <v>713994.83170993882</v>
      </c>
      <c r="AI216" s="165">
        <f t="shared" si="204"/>
        <v>728274.72834413766</v>
      </c>
      <c r="AJ216" s="165">
        <f t="shared" si="204"/>
        <v>742840.22291102039</v>
      </c>
      <c r="AK216" s="165">
        <f t="shared" si="204"/>
        <v>757697.02736924076</v>
      </c>
      <c r="AL216" s="165">
        <f t="shared" si="204"/>
        <v>772850.96791662555</v>
      </c>
      <c r="AM216" s="165">
        <f t="shared" si="204"/>
        <v>788307.98727495805</v>
      </c>
    </row>
    <row r="217" spans="1:39" x14ac:dyDescent="0.3">
      <c r="A217" s="47"/>
      <c r="B217" s="47"/>
      <c r="C217" s="2" t="s">
        <v>162</v>
      </c>
      <c r="D217" s="180" t="s">
        <v>214</v>
      </c>
      <c r="E217" s="164">
        <f t="shared" si="196"/>
        <v>164.19923395965782</v>
      </c>
      <c r="F217" s="171">
        <f t="shared" ref="F217:AM217" si="205">F124</f>
        <v>8.3600157805858579</v>
      </c>
      <c r="G217" s="171">
        <f t="shared" si="205"/>
        <v>34.483054828158153</v>
      </c>
      <c r="H217" s="171">
        <f t="shared" si="205"/>
        <v>90.904333468190828</v>
      </c>
      <c r="I217" s="171">
        <f t="shared" si="205"/>
        <v>30.451829882722961</v>
      </c>
      <c r="J217" s="171">
        <f t="shared" si="205"/>
        <v>0</v>
      </c>
      <c r="K217" s="171">
        <f t="shared" si="205"/>
        <v>0</v>
      </c>
      <c r="L217" s="171">
        <f t="shared" si="205"/>
        <v>0</v>
      </c>
      <c r="M217" s="171">
        <f t="shared" si="205"/>
        <v>0</v>
      </c>
      <c r="N217" s="171">
        <f t="shared" si="205"/>
        <v>0</v>
      </c>
      <c r="O217" s="171">
        <f t="shared" si="205"/>
        <v>0</v>
      </c>
      <c r="P217" s="171">
        <f t="shared" si="205"/>
        <v>0</v>
      </c>
      <c r="Q217" s="171">
        <f t="shared" si="205"/>
        <v>0</v>
      </c>
      <c r="R217" s="171">
        <f t="shared" si="205"/>
        <v>0</v>
      </c>
      <c r="S217" s="171">
        <f t="shared" si="205"/>
        <v>0</v>
      </c>
      <c r="T217" s="171">
        <f t="shared" si="205"/>
        <v>0</v>
      </c>
      <c r="U217" s="171">
        <f t="shared" si="205"/>
        <v>0</v>
      </c>
      <c r="V217" s="171">
        <f t="shared" si="205"/>
        <v>0</v>
      </c>
      <c r="W217" s="171">
        <f t="shared" si="205"/>
        <v>0</v>
      </c>
      <c r="X217" s="171">
        <f t="shared" si="205"/>
        <v>0</v>
      </c>
      <c r="Y217" s="171">
        <f t="shared" si="205"/>
        <v>0</v>
      </c>
      <c r="Z217" s="171">
        <f t="shared" si="205"/>
        <v>0</v>
      </c>
      <c r="AA217" s="171">
        <f t="shared" si="205"/>
        <v>0</v>
      </c>
      <c r="AB217" s="171">
        <f t="shared" si="205"/>
        <v>0</v>
      </c>
      <c r="AC217" s="171">
        <f t="shared" si="205"/>
        <v>0</v>
      </c>
      <c r="AD217" s="171">
        <f t="shared" si="205"/>
        <v>0</v>
      </c>
      <c r="AE217" s="171">
        <f t="shared" si="205"/>
        <v>0</v>
      </c>
      <c r="AF217" s="171">
        <f t="shared" si="205"/>
        <v>0</v>
      </c>
      <c r="AG217" s="171">
        <f t="shared" si="205"/>
        <v>0</v>
      </c>
      <c r="AH217" s="171">
        <f t="shared" si="205"/>
        <v>0</v>
      </c>
      <c r="AI217" s="171">
        <f t="shared" si="205"/>
        <v>0</v>
      </c>
      <c r="AJ217" s="171">
        <f t="shared" si="205"/>
        <v>0</v>
      </c>
      <c r="AK217" s="171">
        <f t="shared" si="205"/>
        <v>0</v>
      </c>
      <c r="AL217" s="171">
        <f t="shared" si="205"/>
        <v>0</v>
      </c>
      <c r="AM217" s="171">
        <f t="shared" si="205"/>
        <v>0</v>
      </c>
    </row>
    <row r="218" spans="1:39" x14ac:dyDescent="0.3">
      <c r="A218" s="47"/>
      <c r="B218" s="47"/>
      <c r="C218" s="2" t="s">
        <v>164</v>
      </c>
      <c r="D218" s="180" t="s">
        <v>214</v>
      </c>
      <c r="E218" s="164">
        <f t="shared" si="196"/>
        <v>1536.9118826591916</v>
      </c>
      <c r="F218" s="171">
        <f t="shared" ref="F218:AM218" si="206">-F119</f>
        <v>75.240142025132627</v>
      </c>
      <c r="G218" s="171">
        <f t="shared" si="206"/>
        <v>310.34749345082923</v>
      </c>
      <c r="H218" s="171">
        <f t="shared" si="206"/>
        <v>818.13900120962467</v>
      </c>
      <c r="I218" s="171">
        <f t="shared" si="206"/>
        <v>333.18524597360505</v>
      </c>
      <c r="J218" s="171">
        <f t="shared" si="206"/>
        <v>0</v>
      </c>
      <c r="K218" s="171">
        <f t="shared" si="206"/>
        <v>0</v>
      </c>
      <c r="L218" s="171">
        <f t="shared" si="206"/>
        <v>0</v>
      </c>
      <c r="M218" s="171">
        <f t="shared" si="206"/>
        <v>0</v>
      </c>
      <c r="N218" s="171">
        <f t="shared" si="206"/>
        <v>0</v>
      </c>
      <c r="O218" s="171">
        <f t="shared" si="206"/>
        <v>0</v>
      </c>
      <c r="P218" s="171">
        <f t="shared" si="206"/>
        <v>0</v>
      </c>
      <c r="Q218" s="171">
        <f t="shared" si="206"/>
        <v>0</v>
      </c>
      <c r="R218" s="171">
        <f t="shared" si="206"/>
        <v>0</v>
      </c>
      <c r="S218" s="171">
        <f t="shared" si="206"/>
        <v>0</v>
      </c>
      <c r="T218" s="171">
        <f t="shared" si="206"/>
        <v>0</v>
      </c>
      <c r="U218" s="171">
        <f t="shared" si="206"/>
        <v>0</v>
      </c>
      <c r="V218" s="171">
        <f t="shared" si="206"/>
        <v>0</v>
      </c>
      <c r="W218" s="171">
        <f t="shared" si="206"/>
        <v>0</v>
      </c>
      <c r="X218" s="171">
        <f t="shared" si="206"/>
        <v>0</v>
      </c>
      <c r="Y218" s="171">
        <f t="shared" si="206"/>
        <v>0</v>
      </c>
      <c r="Z218" s="171">
        <f t="shared" si="206"/>
        <v>0</v>
      </c>
      <c r="AA218" s="171">
        <f t="shared" si="206"/>
        <v>0</v>
      </c>
      <c r="AB218" s="171">
        <f t="shared" si="206"/>
        <v>0</v>
      </c>
      <c r="AC218" s="171">
        <f t="shared" si="206"/>
        <v>0</v>
      </c>
      <c r="AD218" s="171">
        <f t="shared" si="206"/>
        <v>0</v>
      </c>
      <c r="AE218" s="171">
        <f t="shared" si="206"/>
        <v>0</v>
      </c>
      <c r="AF218" s="171">
        <f t="shared" si="206"/>
        <v>0</v>
      </c>
      <c r="AG218" s="171">
        <f t="shared" si="206"/>
        <v>0</v>
      </c>
      <c r="AH218" s="171">
        <f t="shared" si="206"/>
        <v>0</v>
      </c>
      <c r="AI218" s="171">
        <f t="shared" si="206"/>
        <v>0</v>
      </c>
      <c r="AJ218" s="171">
        <f t="shared" si="206"/>
        <v>0</v>
      </c>
      <c r="AK218" s="171">
        <f t="shared" si="206"/>
        <v>0</v>
      </c>
      <c r="AL218" s="171">
        <f t="shared" si="206"/>
        <v>0</v>
      </c>
      <c r="AM218" s="171">
        <f t="shared" si="206"/>
        <v>0</v>
      </c>
    </row>
    <row r="219" spans="1:39" s="182" customFormat="1" x14ac:dyDescent="0.3">
      <c r="A219" s="179"/>
      <c r="B219" s="179"/>
      <c r="C219" s="418" t="s">
        <v>332</v>
      </c>
      <c r="D219" s="180" t="s">
        <v>214</v>
      </c>
      <c r="E219" s="227">
        <f t="shared" si="196"/>
        <v>8816028.5734471325</v>
      </c>
      <c r="F219" s="412">
        <f t="shared" ref="F219:AM219" si="207">SUM(F214:F218)</f>
        <v>0</v>
      </c>
      <c r="G219" s="413">
        <f t="shared" si="207"/>
        <v>0</v>
      </c>
      <c r="H219" s="413">
        <f t="shared" si="207"/>
        <v>0</v>
      </c>
      <c r="I219" s="413">
        <f t="shared" si="207"/>
        <v>0</v>
      </c>
      <c r="J219" s="413">
        <f t="shared" si="207"/>
        <v>-96110.861720101791</v>
      </c>
      <c r="K219" s="413">
        <f t="shared" si="207"/>
        <v>2176257.761353544</v>
      </c>
      <c r="L219" s="413">
        <f t="shared" si="207"/>
        <v>1381816.4650072576</v>
      </c>
      <c r="M219" s="413">
        <f t="shared" si="207"/>
        <v>1374752.0699918841</v>
      </c>
      <c r="N219" s="413">
        <f t="shared" si="207"/>
        <v>-6228137.4082577359</v>
      </c>
      <c r="O219" s="413">
        <f t="shared" si="207"/>
        <v>1596156.6820835602</v>
      </c>
      <c r="P219" s="413">
        <f t="shared" si="207"/>
        <v>1842266.3934976407</v>
      </c>
      <c r="Q219" s="413">
        <f t="shared" si="207"/>
        <v>1831599.0859525378</v>
      </c>
      <c r="R219" s="413">
        <f t="shared" si="207"/>
        <v>2093921.5214880076</v>
      </c>
      <c r="S219" s="413">
        <f t="shared" si="207"/>
        <v>-9310073.639055701</v>
      </c>
      <c r="T219" s="413">
        <f t="shared" si="207"/>
        <v>-1163140.0618785853</v>
      </c>
      <c r="U219" s="413">
        <f t="shared" si="207"/>
        <v>2348567.0227132556</v>
      </c>
      <c r="V219" s="413">
        <f t="shared" si="207"/>
        <v>2693317.8624433707</v>
      </c>
      <c r="W219" s="413">
        <f t="shared" si="207"/>
        <v>2722852.2838168251</v>
      </c>
      <c r="X219" s="413">
        <f t="shared" si="207"/>
        <v>-9599101.8238685075</v>
      </c>
      <c r="Y219" s="413">
        <f t="shared" si="207"/>
        <v>-6770683.3153379811</v>
      </c>
      <c r="Z219" s="413">
        <f t="shared" si="207"/>
        <v>-1125196.4431757424</v>
      </c>
      <c r="AA219" s="413">
        <f t="shared" si="207"/>
        <v>3637584.7953460068</v>
      </c>
      <c r="AB219" s="413">
        <f t="shared" si="207"/>
        <v>4158838.7678026329</v>
      </c>
      <c r="AC219" s="413">
        <f t="shared" si="207"/>
        <v>-6110524.2474990692</v>
      </c>
      <c r="AD219" s="413">
        <f t="shared" si="207"/>
        <v>1385241.0672043653</v>
      </c>
      <c r="AE219" s="413">
        <f t="shared" si="207"/>
        <v>591144.87975117739</v>
      </c>
      <c r="AF219" s="413">
        <f t="shared" si="207"/>
        <v>5277676.8111405056</v>
      </c>
      <c r="AG219" s="413">
        <f t="shared" si="207"/>
        <v>5109625.6426071143</v>
      </c>
      <c r="AH219" s="413">
        <f t="shared" si="207"/>
        <v>-5983115.3653398016</v>
      </c>
      <c r="AI219" s="413">
        <f t="shared" si="207"/>
        <v>5256074.647391797</v>
      </c>
      <c r="AJ219" s="413">
        <f t="shared" si="207"/>
        <v>5590364.4711981155</v>
      </c>
      <c r="AK219" s="413">
        <f t="shared" si="207"/>
        <v>5405058.636530133</v>
      </c>
      <c r="AL219" s="413">
        <f t="shared" si="207"/>
        <v>5715466.8985741921</v>
      </c>
      <c r="AM219" s="413">
        <f t="shared" si="207"/>
        <v>-6986472.0263135638</v>
      </c>
    </row>
    <row r="220" spans="1:39" s="182" customFormat="1" x14ac:dyDescent="0.3">
      <c r="A220" s="179"/>
      <c r="B220" s="179"/>
      <c r="C220" s="194" t="s">
        <v>340</v>
      </c>
      <c r="D220" s="180" t="s">
        <v>214</v>
      </c>
      <c r="E220" s="164">
        <f t="shared" si="196"/>
        <v>65086098.919041418</v>
      </c>
      <c r="F220" s="395">
        <f t="shared" ref="F220:AM220" si="208">IF(F78=1,0,-F115+IF(F191=1,IF(F219/F196&gt;1.7,0,1.7*F196+IF(F219&lt;0,-F219,0)),0))</f>
        <v>0</v>
      </c>
      <c r="G220" s="395">
        <f t="shared" si="208"/>
        <v>0</v>
      </c>
      <c r="H220" s="395">
        <f t="shared" si="208"/>
        <v>0</v>
      </c>
      <c r="I220" s="395">
        <f t="shared" si="208"/>
        <v>0</v>
      </c>
      <c r="J220" s="395">
        <f t="shared" si="208"/>
        <v>96140.410686033007</v>
      </c>
      <c r="K220" s="395">
        <f t="shared" si="208"/>
        <v>0</v>
      </c>
      <c r="L220" s="395">
        <f t="shared" si="208"/>
        <v>0</v>
      </c>
      <c r="M220" s="395">
        <f t="shared" si="208"/>
        <v>0</v>
      </c>
      <c r="N220" s="395">
        <f t="shared" si="208"/>
        <v>6228166.9590935092</v>
      </c>
      <c r="O220" s="395">
        <f t="shared" si="208"/>
        <v>0</v>
      </c>
      <c r="P220" s="395">
        <f t="shared" si="208"/>
        <v>0</v>
      </c>
      <c r="Q220" s="395">
        <f t="shared" si="208"/>
        <v>0</v>
      </c>
      <c r="R220" s="395">
        <f t="shared" si="208"/>
        <v>0</v>
      </c>
      <c r="S220" s="395">
        <f t="shared" si="208"/>
        <v>12095909.7455323</v>
      </c>
      <c r="T220" s="395">
        <f t="shared" si="208"/>
        <v>4688614.7519667493</v>
      </c>
      <c r="U220" s="395">
        <f t="shared" si="208"/>
        <v>0</v>
      </c>
      <c r="V220" s="395">
        <f t="shared" si="208"/>
        <v>0</v>
      </c>
      <c r="W220" s="395">
        <f t="shared" si="208"/>
        <v>0</v>
      </c>
      <c r="X220" s="395">
        <f t="shared" si="208"/>
        <v>12835704.664918654</v>
      </c>
      <c r="Y220" s="395">
        <f t="shared" si="208"/>
        <v>16664255.533228461</v>
      </c>
      <c r="Z220" s="395">
        <f t="shared" si="208"/>
        <v>4645828.0030432567</v>
      </c>
      <c r="AA220" s="395">
        <f t="shared" si="208"/>
        <v>0</v>
      </c>
      <c r="AB220" s="395">
        <f t="shared" si="208"/>
        <v>0</v>
      </c>
      <c r="AC220" s="395">
        <f t="shared" si="208"/>
        <v>0</v>
      </c>
      <c r="AD220" s="395">
        <f t="shared" si="208"/>
        <v>3456836.540557222</v>
      </c>
      <c r="AE220" s="395">
        <f t="shared" si="208"/>
        <v>4374642.3100152342</v>
      </c>
      <c r="AF220" s="395">
        <f t="shared" si="208"/>
        <v>0</v>
      </c>
      <c r="AG220" s="395">
        <f t="shared" si="208"/>
        <v>0</v>
      </c>
      <c r="AH220" s="395">
        <f t="shared" si="208"/>
        <v>0</v>
      </c>
      <c r="AI220" s="395">
        <f t="shared" si="208"/>
        <v>0</v>
      </c>
      <c r="AJ220" s="395">
        <f t="shared" si="208"/>
        <v>0</v>
      </c>
      <c r="AK220" s="395">
        <f t="shared" si="208"/>
        <v>0</v>
      </c>
      <c r="AL220" s="395">
        <f t="shared" si="208"/>
        <v>0</v>
      </c>
      <c r="AM220" s="395">
        <f t="shared" si="208"/>
        <v>0</v>
      </c>
    </row>
    <row r="221" spans="1:39" s="182" customFormat="1" x14ac:dyDescent="0.3">
      <c r="A221" s="179"/>
      <c r="B221" s="179"/>
      <c r="C221" s="178" t="s">
        <v>331</v>
      </c>
      <c r="D221" s="180" t="s">
        <v>214</v>
      </c>
      <c r="E221" s="164">
        <f t="shared" si="196"/>
        <v>73902127.492488548</v>
      </c>
      <c r="F221" s="395">
        <f>SUM(F219:F220)</f>
        <v>0</v>
      </c>
      <c r="G221" s="395">
        <f t="shared" ref="G221:AM221" si="209">SUM(G219:G220)</f>
        <v>0</v>
      </c>
      <c r="H221" s="395">
        <f t="shared" si="209"/>
        <v>0</v>
      </c>
      <c r="I221" s="395">
        <f t="shared" si="209"/>
        <v>0</v>
      </c>
      <c r="J221" s="395">
        <f t="shared" si="209"/>
        <v>29.548965931215207</v>
      </c>
      <c r="K221" s="395">
        <f t="shared" si="209"/>
        <v>2176257.761353544</v>
      </c>
      <c r="L221" s="395">
        <f t="shared" si="209"/>
        <v>1381816.4650072576</v>
      </c>
      <c r="M221" s="395">
        <f t="shared" si="209"/>
        <v>1374752.0699918841</v>
      </c>
      <c r="N221" s="395">
        <f t="shared" si="209"/>
        <v>29.550835773348808</v>
      </c>
      <c r="O221" s="395">
        <f t="shared" si="209"/>
        <v>1596156.6820835602</v>
      </c>
      <c r="P221" s="395">
        <f t="shared" si="209"/>
        <v>1842266.3934976407</v>
      </c>
      <c r="Q221" s="395">
        <f t="shared" si="209"/>
        <v>1831599.0859525378</v>
      </c>
      <c r="R221" s="395">
        <f t="shared" si="209"/>
        <v>2093921.5214880076</v>
      </c>
      <c r="S221" s="395">
        <f t="shared" si="209"/>
        <v>2785836.1064765994</v>
      </c>
      <c r="T221" s="395">
        <f t="shared" si="209"/>
        <v>3525474.6900881641</v>
      </c>
      <c r="U221" s="395">
        <f t="shared" si="209"/>
        <v>2348567.0227132556</v>
      </c>
      <c r="V221" s="395">
        <f t="shared" si="209"/>
        <v>2693317.8624433707</v>
      </c>
      <c r="W221" s="395">
        <f t="shared" si="209"/>
        <v>2722852.2838168251</v>
      </c>
      <c r="X221" s="395">
        <f t="shared" si="209"/>
        <v>3236602.8410501461</v>
      </c>
      <c r="Y221" s="395">
        <f t="shared" si="209"/>
        <v>9893572.2178904787</v>
      </c>
      <c r="Z221" s="395">
        <f t="shared" si="209"/>
        <v>3520631.5598675143</v>
      </c>
      <c r="AA221" s="395">
        <f t="shared" si="209"/>
        <v>3637584.7953460068</v>
      </c>
      <c r="AB221" s="395">
        <f t="shared" si="209"/>
        <v>4158838.7678026329</v>
      </c>
      <c r="AC221" s="395">
        <f t="shared" si="209"/>
        <v>-6110524.2474990692</v>
      </c>
      <c r="AD221" s="395">
        <f t="shared" si="209"/>
        <v>4842077.607761587</v>
      </c>
      <c r="AE221" s="395">
        <f t="shared" si="209"/>
        <v>4965787.1897664117</v>
      </c>
      <c r="AF221" s="395">
        <f t="shared" si="209"/>
        <v>5277676.8111405056</v>
      </c>
      <c r="AG221" s="395">
        <f t="shared" si="209"/>
        <v>5109625.6426071143</v>
      </c>
      <c r="AH221" s="395">
        <f t="shared" si="209"/>
        <v>-5983115.3653398016</v>
      </c>
      <c r="AI221" s="395">
        <f t="shared" si="209"/>
        <v>5256074.647391797</v>
      </c>
      <c r="AJ221" s="395">
        <f t="shared" si="209"/>
        <v>5590364.4711981155</v>
      </c>
      <c r="AK221" s="395">
        <f t="shared" si="209"/>
        <v>5405058.636530133</v>
      </c>
      <c r="AL221" s="395">
        <f t="shared" si="209"/>
        <v>5715466.8985741921</v>
      </c>
      <c r="AM221" s="395">
        <f t="shared" si="209"/>
        <v>-6986472.0263135638</v>
      </c>
    </row>
    <row r="222" spans="1:39" x14ac:dyDescent="0.3">
      <c r="A222" s="47"/>
      <c r="B222" s="47"/>
      <c r="C222" s="2" t="s">
        <v>330</v>
      </c>
      <c r="D222" s="180" t="s">
        <v>214</v>
      </c>
      <c r="E222" s="164">
        <f t="shared" si="196"/>
        <v>-114.0050195774545</v>
      </c>
      <c r="F222" s="171">
        <f>-F197</f>
        <v>0</v>
      </c>
      <c r="G222" s="171">
        <f t="shared" ref="G222:I222" si="210">-G197</f>
        <v>0</v>
      </c>
      <c r="H222" s="171">
        <f t="shared" si="210"/>
        <v>0</v>
      </c>
      <c r="I222" s="171">
        <f t="shared" si="210"/>
        <v>0</v>
      </c>
      <c r="J222" s="171">
        <f>J197</f>
        <v>-11.493946377176057</v>
      </c>
      <c r="K222" s="171">
        <f t="shared" ref="K222:AM222" si="211">K197</f>
        <v>-11.1132031811593</v>
      </c>
      <c r="L222" s="171">
        <f t="shared" si="211"/>
        <v>-10.641477749416813</v>
      </c>
      <c r="M222" s="171">
        <f t="shared" si="211"/>
        <v>-10.169582071794501</v>
      </c>
      <c r="N222" s="171">
        <f t="shared" si="211"/>
        <v>-9.664653696738629</v>
      </c>
      <c r="O222" s="171">
        <f t="shared" si="211"/>
        <v>-9.1502362452072195</v>
      </c>
      <c r="P222" s="171">
        <f t="shared" si="211"/>
        <v>-8.5468952461477148</v>
      </c>
      <c r="Q222" s="171">
        <f t="shared" si="211"/>
        <v>-7.9282923121591562</v>
      </c>
      <c r="R222" s="171">
        <f t="shared" si="211"/>
        <v>-7.2663871727913998</v>
      </c>
      <c r="S222" s="171">
        <f t="shared" si="211"/>
        <v>-6.5767326096926988</v>
      </c>
      <c r="T222" s="171">
        <f t="shared" si="211"/>
        <v>-5.8007926844622597</v>
      </c>
      <c r="U222" s="171">
        <f t="shared" si="211"/>
        <v>-4.989866231905598</v>
      </c>
      <c r="V222" s="171">
        <f t="shared" si="211"/>
        <v>-4.1221749276699704</v>
      </c>
      <c r="W222" s="171">
        <f t="shared" si="211"/>
        <v>-3.2027954016333751</v>
      </c>
      <c r="X222" s="171">
        <f t="shared" si="211"/>
        <v>-2.2005178967721553</v>
      </c>
      <c r="Y222" s="171">
        <f t="shared" si="211"/>
        <v>-1.1374657727276356</v>
      </c>
      <c r="Z222" s="171">
        <f t="shared" si="211"/>
        <v>0</v>
      </c>
      <c r="AA222" s="171">
        <f t="shared" si="211"/>
        <v>0</v>
      </c>
      <c r="AB222" s="171">
        <f t="shared" si="211"/>
        <v>0</v>
      </c>
      <c r="AC222" s="171">
        <f t="shared" si="211"/>
        <v>0</v>
      </c>
      <c r="AD222" s="171">
        <f t="shared" si="211"/>
        <v>0</v>
      </c>
      <c r="AE222" s="171">
        <f t="shared" si="211"/>
        <v>0</v>
      </c>
      <c r="AF222" s="171">
        <f t="shared" si="211"/>
        <v>0</v>
      </c>
      <c r="AG222" s="171">
        <f t="shared" si="211"/>
        <v>0</v>
      </c>
      <c r="AH222" s="171">
        <f t="shared" si="211"/>
        <v>0</v>
      </c>
      <c r="AI222" s="171">
        <f t="shared" si="211"/>
        <v>0</v>
      </c>
      <c r="AJ222" s="171">
        <f t="shared" si="211"/>
        <v>0</v>
      </c>
      <c r="AK222" s="171">
        <f t="shared" si="211"/>
        <v>0</v>
      </c>
      <c r="AL222" s="171">
        <f t="shared" si="211"/>
        <v>0</v>
      </c>
      <c r="AM222" s="171">
        <f t="shared" si="211"/>
        <v>0</v>
      </c>
    </row>
    <row r="223" spans="1:39" x14ac:dyDescent="0.3">
      <c r="A223" s="47"/>
      <c r="B223" s="47"/>
      <c r="C223" s="2" t="s">
        <v>179</v>
      </c>
      <c r="D223" s="180" t="s">
        <v>214</v>
      </c>
      <c r="E223" s="164">
        <f t="shared" si="196"/>
        <v>-164.19923395965787</v>
      </c>
      <c r="F223" s="171">
        <f>F198</f>
        <v>0</v>
      </c>
      <c r="G223" s="171">
        <f>G198</f>
        <v>0</v>
      </c>
      <c r="H223" s="171">
        <f t="shared" ref="H223:I223" si="212">H198</f>
        <v>0</v>
      </c>
      <c r="I223" s="171">
        <f t="shared" si="212"/>
        <v>0</v>
      </c>
      <c r="J223" s="171">
        <f>-J198</f>
        <v>-5.8877982882443387</v>
      </c>
      <c r="K223" s="171">
        <f t="shared" ref="K223:AM223" si="213">-K198</f>
        <v>-6.2903249654591562</v>
      </c>
      <c r="L223" s="171">
        <f t="shared" si="213"/>
        <v>-6.7413668231758752</v>
      </c>
      <c r="M223" s="171">
        <f t="shared" si="213"/>
        <v>-7.2132625007981872</v>
      </c>
      <c r="N223" s="171">
        <f t="shared" si="213"/>
        <v>-7.7181908758540594</v>
      </c>
      <c r="O223" s="171">
        <f t="shared" si="213"/>
        <v>-8.2497869897304223</v>
      </c>
      <c r="P223" s="171">
        <f t="shared" si="213"/>
        <v>-8.8371847712650951</v>
      </c>
      <c r="Q223" s="171">
        <f t="shared" si="213"/>
        <v>-9.4557877052536501</v>
      </c>
      <c r="R223" s="171">
        <f t="shared" si="213"/>
        <v>-10.117692844621402</v>
      </c>
      <c r="S223" s="171">
        <f t="shared" si="213"/>
        <v>-10.819371274366311</v>
      </c>
      <c r="T223" s="171">
        <f t="shared" si="213"/>
        <v>-11.584663607952297</v>
      </c>
      <c r="U223" s="171">
        <f t="shared" si="213"/>
        <v>-12.395590060508951</v>
      </c>
      <c r="V223" s="171">
        <f t="shared" si="213"/>
        <v>-13.263281364744579</v>
      </c>
      <c r="W223" s="171">
        <f t="shared" si="213"/>
        <v>-14.188961933795619</v>
      </c>
      <c r="X223" s="171">
        <f t="shared" si="213"/>
        <v>-15.186458914921698</v>
      </c>
      <c r="Y223" s="171">
        <f t="shared" si="213"/>
        <v>-16.249511038966219</v>
      </c>
      <c r="Z223" s="171">
        <f t="shared" si="213"/>
        <v>0</v>
      </c>
      <c r="AA223" s="171">
        <f t="shared" si="213"/>
        <v>0</v>
      </c>
      <c r="AB223" s="171">
        <f t="shared" si="213"/>
        <v>0</v>
      </c>
      <c r="AC223" s="171">
        <f t="shared" si="213"/>
        <v>0</v>
      </c>
      <c r="AD223" s="171">
        <f t="shared" si="213"/>
        <v>0</v>
      </c>
      <c r="AE223" s="171">
        <f t="shared" si="213"/>
        <v>0</v>
      </c>
      <c r="AF223" s="171">
        <f t="shared" si="213"/>
        <v>0</v>
      </c>
      <c r="AG223" s="171">
        <f t="shared" si="213"/>
        <v>0</v>
      </c>
      <c r="AH223" s="171">
        <f t="shared" si="213"/>
        <v>0</v>
      </c>
      <c r="AI223" s="171">
        <f t="shared" si="213"/>
        <v>0</v>
      </c>
      <c r="AJ223" s="171">
        <f t="shared" si="213"/>
        <v>0</v>
      </c>
      <c r="AK223" s="171">
        <f t="shared" si="213"/>
        <v>0</v>
      </c>
      <c r="AL223" s="171">
        <f t="shared" si="213"/>
        <v>0</v>
      </c>
      <c r="AM223" s="171">
        <f t="shared" si="213"/>
        <v>0</v>
      </c>
    </row>
    <row r="224" spans="1:39" s="182" customFormat="1" x14ac:dyDescent="0.3">
      <c r="A224" s="179"/>
      <c r="B224" s="179"/>
      <c r="C224" s="178" t="s">
        <v>233</v>
      </c>
      <c r="D224" s="180" t="s">
        <v>214</v>
      </c>
      <c r="E224" s="164">
        <f t="shared" si="196"/>
        <v>73901849.288235024</v>
      </c>
      <c r="F224" s="221">
        <f>SUM(F221:F223)</f>
        <v>0</v>
      </c>
      <c r="G224" s="221">
        <f t="shared" ref="G224:AM224" si="214">SUM(G221:G223)</f>
        <v>0</v>
      </c>
      <c r="H224" s="221">
        <f t="shared" si="214"/>
        <v>0</v>
      </c>
      <c r="I224" s="221">
        <f t="shared" si="214"/>
        <v>0</v>
      </c>
      <c r="J224" s="221">
        <f t="shared" si="214"/>
        <v>12.16722126579481</v>
      </c>
      <c r="K224" s="221">
        <f t="shared" si="214"/>
        <v>2176240.3578253975</v>
      </c>
      <c r="L224" s="221">
        <f t="shared" si="214"/>
        <v>1381799.082162685</v>
      </c>
      <c r="M224" s="221">
        <f t="shared" si="214"/>
        <v>1374734.6871473116</v>
      </c>
      <c r="N224" s="221">
        <f t="shared" si="214"/>
        <v>12.16799120075612</v>
      </c>
      <c r="O224" s="221">
        <f t="shared" si="214"/>
        <v>1596139.2820603251</v>
      </c>
      <c r="P224" s="221">
        <f t="shared" si="214"/>
        <v>1842249.0094176233</v>
      </c>
      <c r="Q224" s="221">
        <f t="shared" si="214"/>
        <v>1831581.7018725204</v>
      </c>
      <c r="R224" s="221">
        <f t="shared" si="214"/>
        <v>2093904.1374079902</v>
      </c>
      <c r="S224" s="221">
        <f t="shared" si="214"/>
        <v>2785818.7103727153</v>
      </c>
      <c r="T224" s="221">
        <f t="shared" si="214"/>
        <v>3525457.3046318716</v>
      </c>
      <c r="U224" s="221">
        <f t="shared" si="214"/>
        <v>2348549.6372569632</v>
      </c>
      <c r="V224" s="221">
        <f t="shared" si="214"/>
        <v>2693300.4769870783</v>
      </c>
      <c r="W224" s="221">
        <f t="shared" si="214"/>
        <v>2722834.8920594896</v>
      </c>
      <c r="X224" s="221">
        <f t="shared" si="214"/>
        <v>3236585.4540733346</v>
      </c>
      <c r="Y224" s="221">
        <f t="shared" si="214"/>
        <v>9893554.8309136666</v>
      </c>
      <c r="Z224" s="221">
        <f t="shared" si="214"/>
        <v>3520631.5598675143</v>
      </c>
      <c r="AA224" s="221">
        <f t="shared" si="214"/>
        <v>3637584.7953460068</v>
      </c>
      <c r="AB224" s="221">
        <f t="shared" si="214"/>
        <v>4158838.7678026329</v>
      </c>
      <c r="AC224" s="221">
        <f t="shared" si="214"/>
        <v>-6110524.2474990692</v>
      </c>
      <c r="AD224" s="221">
        <f t="shared" si="214"/>
        <v>4842077.607761587</v>
      </c>
      <c r="AE224" s="221">
        <f t="shared" si="214"/>
        <v>4965787.1897664117</v>
      </c>
      <c r="AF224" s="221">
        <f t="shared" si="214"/>
        <v>5277676.8111405056</v>
      </c>
      <c r="AG224" s="221">
        <f t="shared" si="214"/>
        <v>5109625.6426071143</v>
      </c>
      <c r="AH224" s="221">
        <f t="shared" si="214"/>
        <v>-5983115.3653398016</v>
      </c>
      <c r="AI224" s="221">
        <f t="shared" si="214"/>
        <v>5256074.647391797</v>
      </c>
      <c r="AJ224" s="221">
        <f t="shared" si="214"/>
        <v>5590364.4711981155</v>
      </c>
      <c r="AK224" s="221">
        <f t="shared" si="214"/>
        <v>5405058.636530133</v>
      </c>
      <c r="AL224" s="221">
        <f t="shared" si="214"/>
        <v>5715466.8985741921</v>
      </c>
      <c r="AM224" s="221">
        <f t="shared" si="214"/>
        <v>-6986472.0263135638</v>
      </c>
    </row>
    <row r="225" spans="1:42" s="182" customFormat="1" x14ac:dyDescent="0.3">
      <c r="A225" s="179"/>
      <c r="B225" s="179"/>
      <c r="C225" s="428" t="s">
        <v>348</v>
      </c>
      <c r="D225" s="424" t="s">
        <v>214</v>
      </c>
      <c r="E225" s="425">
        <f t="shared" si="196"/>
        <v>-76271070.921085015</v>
      </c>
      <c r="F225" s="426">
        <f t="shared" ref="F225:AM225" si="215">IF(F231&lt;$E$220,IF(F224&gt;0,-F224*$E$28,0),0)</f>
        <v>0</v>
      </c>
      <c r="G225" s="427">
        <f t="shared" si="215"/>
        <v>0</v>
      </c>
      <c r="H225" s="427">
        <f t="shared" si="215"/>
        <v>0</v>
      </c>
      <c r="I225" s="427">
        <f t="shared" si="215"/>
        <v>0</v>
      </c>
      <c r="J225" s="427">
        <f t="shared" si="215"/>
        <v>-12.16722126579481</v>
      </c>
      <c r="K225" s="427">
        <f t="shared" si="215"/>
        <v>-2176240.3578253975</v>
      </c>
      <c r="L225" s="427">
        <f t="shared" si="215"/>
        <v>-1381799.082162685</v>
      </c>
      <c r="M225" s="427">
        <f t="shared" si="215"/>
        <v>-1374734.6871473116</v>
      </c>
      <c r="N225" s="427">
        <f t="shared" si="215"/>
        <v>-12.16799120075612</v>
      </c>
      <c r="O225" s="427">
        <f t="shared" si="215"/>
        <v>-1596139.2820603251</v>
      </c>
      <c r="P225" s="427">
        <f t="shared" si="215"/>
        <v>-1842249.0094176233</v>
      </c>
      <c r="Q225" s="427">
        <f t="shared" si="215"/>
        <v>-1831581.7018725204</v>
      </c>
      <c r="R225" s="427">
        <f t="shared" si="215"/>
        <v>-2093904.1374079902</v>
      </c>
      <c r="S225" s="427">
        <f t="shared" si="215"/>
        <v>-2785818.7103727153</v>
      </c>
      <c r="T225" s="427">
        <f t="shared" si="215"/>
        <v>-3525457.3046318716</v>
      </c>
      <c r="U225" s="427">
        <f t="shared" si="215"/>
        <v>-2348549.6372569632</v>
      </c>
      <c r="V225" s="427">
        <f t="shared" si="215"/>
        <v>-2693300.4769870783</v>
      </c>
      <c r="W225" s="427">
        <f t="shared" si="215"/>
        <v>-2722834.8920594896</v>
      </c>
      <c r="X225" s="427">
        <f t="shared" si="215"/>
        <v>-3236585.4540733346</v>
      </c>
      <c r="Y225" s="427">
        <f t="shared" si="215"/>
        <v>-9893554.8309136666</v>
      </c>
      <c r="Z225" s="427">
        <f t="shared" si="215"/>
        <v>-3520631.5598675143</v>
      </c>
      <c r="AA225" s="427">
        <f t="shared" si="215"/>
        <v>-3637584.7953460068</v>
      </c>
      <c r="AB225" s="427">
        <f t="shared" si="215"/>
        <v>-4158838.7678026329</v>
      </c>
      <c r="AC225" s="427">
        <f t="shared" si="215"/>
        <v>0</v>
      </c>
      <c r="AD225" s="427">
        <f t="shared" si="215"/>
        <v>-4842077.607761587</v>
      </c>
      <c r="AE225" s="427">
        <f t="shared" si="215"/>
        <v>-4965787.1897664117</v>
      </c>
      <c r="AF225" s="427">
        <f t="shared" si="215"/>
        <v>-5277676.8111405056</v>
      </c>
      <c r="AG225" s="427">
        <f t="shared" si="215"/>
        <v>-5109625.6426071143</v>
      </c>
      <c r="AH225" s="427">
        <f t="shared" si="215"/>
        <v>0</v>
      </c>
      <c r="AI225" s="427">
        <f t="shared" si="215"/>
        <v>-5256074.647391797</v>
      </c>
      <c r="AJ225" s="427">
        <f t="shared" si="215"/>
        <v>0</v>
      </c>
      <c r="AK225" s="427">
        <f t="shared" si="215"/>
        <v>0</v>
      </c>
      <c r="AL225" s="427">
        <f t="shared" si="215"/>
        <v>0</v>
      </c>
      <c r="AM225" s="427">
        <f t="shared" si="215"/>
        <v>0</v>
      </c>
    </row>
    <row r="226" spans="1:42" s="197" customFormat="1" x14ac:dyDescent="0.3">
      <c r="A226" s="194"/>
      <c r="B226" s="194"/>
      <c r="C226" s="423" t="s">
        <v>356</v>
      </c>
      <c r="D226" s="429" t="s">
        <v>214</v>
      </c>
      <c r="E226" s="425">
        <f t="shared" si="196"/>
        <v>-2369221.632849995</v>
      </c>
      <c r="F226" s="430">
        <f>F224+F225</f>
        <v>0</v>
      </c>
      <c r="G226" s="431">
        <f>G224+G225</f>
        <v>0</v>
      </c>
      <c r="H226" s="431">
        <f t="shared" ref="H226:AM226" si="216">H224+H225</f>
        <v>0</v>
      </c>
      <c r="I226" s="431">
        <f t="shared" si="216"/>
        <v>0</v>
      </c>
      <c r="J226" s="431">
        <f t="shared" si="216"/>
        <v>0</v>
      </c>
      <c r="K226" s="431">
        <f t="shared" si="216"/>
        <v>0</v>
      </c>
      <c r="L226" s="431">
        <f t="shared" si="216"/>
        <v>0</v>
      </c>
      <c r="M226" s="431">
        <f t="shared" si="216"/>
        <v>0</v>
      </c>
      <c r="N226" s="431">
        <f t="shared" si="216"/>
        <v>0</v>
      </c>
      <c r="O226" s="431">
        <f t="shared" si="216"/>
        <v>0</v>
      </c>
      <c r="P226" s="431">
        <f t="shared" si="216"/>
        <v>0</v>
      </c>
      <c r="Q226" s="431">
        <f t="shared" si="216"/>
        <v>0</v>
      </c>
      <c r="R226" s="431">
        <f t="shared" si="216"/>
        <v>0</v>
      </c>
      <c r="S226" s="431">
        <f t="shared" si="216"/>
        <v>0</v>
      </c>
      <c r="T226" s="431">
        <f t="shared" si="216"/>
        <v>0</v>
      </c>
      <c r="U226" s="431">
        <f t="shared" si="216"/>
        <v>0</v>
      </c>
      <c r="V226" s="431">
        <f t="shared" si="216"/>
        <v>0</v>
      </c>
      <c r="W226" s="431">
        <f t="shared" si="216"/>
        <v>0</v>
      </c>
      <c r="X226" s="431">
        <f t="shared" si="216"/>
        <v>0</v>
      </c>
      <c r="Y226" s="431">
        <f t="shared" si="216"/>
        <v>0</v>
      </c>
      <c r="Z226" s="431">
        <f t="shared" si="216"/>
        <v>0</v>
      </c>
      <c r="AA226" s="431">
        <f t="shared" si="216"/>
        <v>0</v>
      </c>
      <c r="AB226" s="431">
        <f t="shared" si="216"/>
        <v>0</v>
      </c>
      <c r="AC226" s="431">
        <f t="shared" si="216"/>
        <v>-6110524.2474990692</v>
      </c>
      <c r="AD226" s="431">
        <f t="shared" si="216"/>
        <v>0</v>
      </c>
      <c r="AE226" s="431">
        <f t="shared" si="216"/>
        <v>0</v>
      </c>
      <c r="AF226" s="431">
        <f t="shared" si="216"/>
        <v>0</v>
      </c>
      <c r="AG226" s="431">
        <f t="shared" si="216"/>
        <v>0</v>
      </c>
      <c r="AH226" s="431">
        <f t="shared" si="216"/>
        <v>-5983115.3653398016</v>
      </c>
      <c r="AI226" s="431">
        <f t="shared" si="216"/>
        <v>0</v>
      </c>
      <c r="AJ226" s="431">
        <f t="shared" si="216"/>
        <v>5590364.4711981155</v>
      </c>
      <c r="AK226" s="431">
        <f t="shared" si="216"/>
        <v>5405058.636530133</v>
      </c>
      <c r="AL226" s="431">
        <f t="shared" si="216"/>
        <v>5715466.8985741921</v>
      </c>
      <c r="AM226" s="431">
        <f t="shared" si="216"/>
        <v>-6986472.0263135638</v>
      </c>
    </row>
    <row r="227" spans="1:42" x14ac:dyDescent="0.3">
      <c r="A227" s="47"/>
      <c r="B227" s="47"/>
      <c r="C227" s="2" t="s">
        <v>180</v>
      </c>
      <c r="D227" s="180" t="s">
        <v>214</v>
      </c>
      <c r="E227" s="164">
        <f t="shared" si="196"/>
        <v>-16710890.006302441</v>
      </c>
      <c r="F227" s="171">
        <f t="shared" ref="F227:AM227" si="217">-MAX(F226,0)*F79</f>
        <v>0</v>
      </c>
      <c r="G227" s="171">
        <f t="shared" si="217"/>
        <v>0</v>
      </c>
      <c r="H227" s="171">
        <f t="shared" si="217"/>
        <v>0</v>
      </c>
      <c r="I227" s="171">
        <f t="shared" si="217"/>
        <v>0</v>
      </c>
      <c r="J227" s="171">
        <f t="shared" si="217"/>
        <v>0</v>
      </c>
      <c r="K227" s="171">
        <f t="shared" si="217"/>
        <v>0</v>
      </c>
      <c r="L227" s="171">
        <f t="shared" si="217"/>
        <v>0</v>
      </c>
      <c r="M227" s="171">
        <f t="shared" si="217"/>
        <v>0</v>
      </c>
      <c r="N227" s="171">
        <f t="shared" si="217"/>
        <v>0</v>
      </c>
      <c r="O227" s="171">
        <f t="shared" si="217"/>
        <v>0</v>
      </c>
      <c r="P227" s="171">
        <f t="shared" si="217"/>
        <v>0</v>
      </c>
      <c r="Q227" s="171">
        <f t="shared" si="217"/>
        <v>0</v>
      </c>
      <c r="R227" s="171">
        <f t="shared" si="217"/>
        <v>0</v>
      </c>
      <c r="S227" s="171">
        <f t="shared" si="217"/>
        <v>0</v>
      </c>
      <c r="T227" s="171">
        <f t="shared" si="217"/>
        <v>0</v>
      </c>
      <c r="U227" s="171">
        <f t="shared" si="217"/>
        <v>0</v>
      </c>
      <c r="V227" s="171">
        <f t="shared" si="217"/>
        <v>0</v>
      </c>
      <c r="W227" s="171">
        <f t="shared" si="217"/>
        <v>0</v>
      </c>
      <c r="X227" s="171">
        <f t="shared" si="217"/>
        <v>0</v>
      </c>
      <c r="Y227" s="171">
        <f t="shared" si="217"/>
        <v>0</v>
      </c>
      <c r="Z227" s="171">
        <f t="shared" si="217"/>
        <v>0</v>
      </c>
      <c r="AA227" s="171">
        <f t="shared" si="217"/>
        <v>0</v>
      </c>
      <c r="AB227" s="171">
        <f t="shared" si="217"/>
        <v>0</v>
      </c>
      <c r="AC227" s="171">
        <f t="shared" si="217"/>
        <v>0</v>
      </c>
      <c r="AD227" s="171">
        <f t="shared" si="217"/>
        <v>0</v>
      </c>
      <c r="AE227" s="171">
        <f t="shared" si="217"/>
        <v>0</v>
      </c>
      <c r="AF227" s="171">
        <f t="shared" si="217"/>
        <v>0</v>
      </c>
      <c r="AG227" s="171">
        <f t="shared" si="217"/>
        <v>0</v>
      </c>
      <c r="AH227" s="171">
        <f t="shared" si="217"/>
        <v>0</v>
      </c>
      <c r="AI227" s="171">
        <f t="shared" si="217"/>
        <v>0</v>
      </c>
      <c r="AJ227" s="171">
        <f t="shared" si="217"/>
        <v>-5590364.4711981155</v>
      </c>
      <c r="AK227" s="171">
        <f t="shared" si="217"/>
        <v>-5405058.636530133</v>
      </c>
      <c r="AL227" s="171">
        <f t="shared" si="217"/>
        <v>-5715466.8985741921</v>
      </c>
      <c r="AM227" s="171">
        <f t="shared" si="217"/>
        <v>0</v>
      </c>
    </row>
    <row r="228" spans="1:42" x14ac:dyDescent="0.3">
      <c r="A228" s="47"/>
      <c r="B228" s="47"/>
      <c r="C228" s="2" t="s">
        <v>347</v>
      </c>
      <c r="D228" s="180" t="s">
        <v>214</v>
      </c>
      <c r="E228" s="164">
        <f t="shared" si="196"/>
        <v>11184972.00204359</v>
      </c>
      <c r="F228" s="171">
        <f t="shared" ref="F228:I228" si="218">-F225-F220</f>
        <v>0</v>
      </c>
      <c r="G228" s="171">
        <f t="shared" si="218"/>
        <v>0</v>
      </c>
      <c r="H228" s="171">
        <f t="shared" si="218"/>
        <v>0</v>
      </c>
      <c r="I228" s="171">
        <f t="shared" si="218"/>
        <v>0</v>
      </c>
      <c r="J228" s="171">
        <f>-J225-J220</f>
        <v>-96128.243464767205</v>
      </c>
      <c r="K228" s="171">
        <f t="shared" ref="K228:AM228" si="219">-K225-K220</f>
        <v>2176240.3578253975</v>
      </c>
      <c r="L228" s="171">
        <f t="shared" si="219"/>
        <v>1381799.082162685</v>
      </c>
      <c r="M228" s="171">
        <f t="shared" si="219"/>
        <v>1374734.6871473116</v>
      </c>
      <c r="N228" s="171">
        <f t="shared" si="219"/>
        <v>-6228154.7911023088</v>
      </c>
      <c r="O228" s="171">
        <f t="shared" si="219"/>
        <v>1596139.2820603251</v>
      </c>
      <c r="P228" s="171">
        <f t="shared" si="219"/>
        <v>1842249.0094176233</v>
      </c>
      <c r="Q228" s="171">
        <f t="shared" si="219"/>
        <v>1831581.7018725204</v>
      </c>
      <c r="R228" s="171">
        <f t="shared" si="219"/>
        <v>2093904.1374079902</v>
      </c>
      <c r="S228" s="171">
        <f t="shared" si="219"/>
        <v>-9310091.0351595841</v>
      </c>
      <c r="T228" s="171">
        <f t="shared" si="219"/>
        <v>-1163157.4473348777</v>
      </c>
      <c r="U228" s="171">
        <f t="shared" si="219"/>
        <v>2348549.6372569632</v>
      </c>
      <c r="V228" s="171">
        <f t="shared" si="219"/>
        <v>2693300.4769870783</v>
      </c>
      <c r="W228" s="171">
        <f t="shared" si="219"/>
        <v>2722834.8920594896</v>
      </c>
      <c r="X228" s="171">
        <f t="shared" si="219"/>
        <v>-9599119.2108453196</v>
      </c>
      <c r="Y228" s="171">
        <f t="shared" si="219"/>
        <v>-6770700.7023147941</v>
      </c>
      <c r="Z228" s="171">
        <f t="shared" si="219"/>
        <v>-1125196.4431757424</v>
      </c>
      <c r="AA228" s="171">
        <f t="shared" si="219"/>
        <v>3637584.7953460068</v>
      </c>
      <c r="AB228" s="171">
        <f t="shared" si="219"/>
        <v>4158838.7678026329</v>
      </c>
      <c r="AC228" s="171">
        <f t="shared" si="219"/>
        <v>0</v>
      </c>
      <c r="AD228" s="171">
        <f t="shared" si="219"/>
        <v>1385241.067204365</v>
      </c>
      <c r="AE228" s="171">
        <f t="shared" si="219"/>
        <v>591144.8797511775</v>
      </c>
      <c r="AF228" s="171">
        <f t="shared" si="219"/>
        <v>5277676.8111405056</v>
      </c>
      <c r="AG228" s="171">
        <f t="shared" si="219"/>
        <v>5109625.6426071143</v>
      </c>
      <c r="AH228" s="171">
        <f t="shared" si="219"/>
        <v>0</v>
      </c>
      <c r="AI228" s="171">
        <f t="shared" si="219"/>
        <v>5256074.647391797</v>
      </c>
      <c r="AJ228" s="171">
        <f t="shared" si="219"/>
        <v>0</v>
      </c>
      <c r="AK228" s="171">
        <f t="shared" si="219"/>
        <v>0</v>
      </c>
      <c r="AL228" s="171">
        <f t="shared" si="219"/>
        <v>0</v>
      </c>
      <c r="AM228" s="171">
        <f t="shared" si="219"/>
        <v>0</v>
      </c>
    </row>
    <row r="229" spans="1:42" s="182" customFormat="1" x14ac:dyDescent="0.3">
      <c r="A229" s="179"/>
      <c r="B229" s="179"/>
      <c r="C229" s="178" t="s">
        <v>181</v>
      </c>
      <c r="D229" s="180" t="s">
        <v>214</v>
      </c>
      <c r="E229" s="164">
        <f t="shared" si="196"/>
        <v>68475931.283976167</v>
      </c>
      <c r="F229" s="413">
        <f>F224+F227+F228-F213</f>
        <v>0</v>
      </c>
      <c r="G229" s="413">
        <f t="shared" ref="G229:I229" si="220">G224+G227+G228-G213</f>
        <v>0</v>
      </c>
      <c r="H229" s="413">
        <f t="shared" si="220"/>
        <v>0</v>
      </c>
      <c r="I229" s="413">
        <f t="shared" si="220"/>
        <v>100000</v>
      </c>
      <c r="J229" s="413">
        <f t="shared" ref="J229" si="221">J224+J227+J228-J213</f>
        <v>-96116.076243501404</v>
      </c>
      <c r="K229" s="413">
        <f t="shared" ref="K229" si="222">K224+K227+K228-K213</f>
        <v>4352480.715650795</v>
      </c>
      <c r="L229" s="413">
        <f t="shared" ref="L229" si="223">L224+L227+L228-L213</f>
        <v>2763598.16432537</v>
      </c>
      <c r="M229" s="413">
        <f t="shared" ref="M229" si="224">M224+M227+M228-M213</f>
        <v>2749469.3742946233</v>
      </c>
      <c r="N229" s="413">
        <f t="shared" ref="N229" si="225">N224+N227+N228-N213</f>
        <v>-6228142.6231111083</v>
      </c>
      <c r="O229" s="413">
        <f t="shared" ref="O229" si="226">O224+O227+O228-O213</f>
        <v>3192278.5641206503</v>
      </c>
      <c r="P229" s="413">
        <f t="shared" ref="P229" si="227">P224+P227+P228-P213</f>
        <v>3684498.0188352466</v>
      </c>
      <c r="Q229" s="413">
        <f t="shared" ref="Q229" si="228">Q224+Q227+Q228-Q213</f>
        <v>3663163.4037450408</v>
      </c>
      <c r="R229" s="413">
        <f t="shared" ref="R229" si="229">R224+R227+R228-R213</f>
        <v>4187808.2748159803</v>
      </c>
      <c r="S229" s="413">
        <f t="shared" ref="S229" si="230">S224+S227+S228-S213</f>
        <v>-6524272.3247868689</v>
      </c>
      <c r="T229" s="413">
        <f t="shared" ref="T229" si="231">T224+T227+T228-T213</f>
        <v>2362299.857296994</v>
      </c>
      <c r="U229" s="413">
        <f t="shared" ref="U229" si="232">U224+U227+U228-U213</f>
        <v>4697099.2745139264</v>
      </c>
      <c r="V229" s="413">
        <f t="shared" ref="V229" si="233">V224+V227+V228-V213</f>
        <v>5386600.9539741566</v>
      </c>
      <c r="W229" s="413">
        <f t="shared" ref="W229" si="234">W224+W227+W228-W213</f>
        <v>5445669.7841189792</v>
      </c>
      <c r="X229" s="413">
        <f t="shared" ref="X229" si="235">X224+X227+X228-X213</f>
        <v>-6362533.7567719854</v>
      </c>
      <c r="Y229" s="413">
        <f t="shared" ref="Y229" si="236">Y224+Y227+Y228-Y213</f>
        <v>3122854.1285988726</v>
      </c>
      <c r="Z229" s="413">
        <f t="shared" ref="Z229" si="237">Z224+Z227+Z228-Z213</f>
        <v>2395435.1166917719</v>
      </c>
      <c r="AA229" s="413">
        <f t="shared" ref="AA229" si="238">AA224+AA227+AA228-AA213</f>
        <v>7275169.5906920135</v>
      </c>
      <c r="AB229" s="413">
        <f t="shared" ref="AB229" si="239">AB224+AB227+AB228-AB213</f>
        <v>8317677.5356052658</v>
      </c>
      <c r="AC229" s="413">
        <f t="shared" ref="AC229" si="240">AC224+AC227+AC228-AC213</f>
        <v>-6110524.2474990692</v>
      </c>
      <c r="AD229" s="413">
        <f t="shared" ref="AD229" si="241">AD224+AD227+AD228-AD213</f>
        <v>6227318.6749659516</v>
      </c>
      <c r="AE229" s="413">
        <f t="shared" ref="AE229" si="242">AE224+AE227+AE228-AE213</f>
        <v>5556932.0695175892</v>
      </c>
      <c r="AF229" s="413">
        <f t="shared" ref="AF229" si="243">AF224+AF227+AF228-AF213</f>
        <v>10555353.622281011</v>
      </c>
      <c r="AG229" s="413">
        <f t="shared" ref="AG229" si="244">AG224+AG227+AG228-AG213</f>
        <v>10219251.285214229</v>
      </c>
      <c r="AH229" s="413">
        <f t="shared" ref="AH229" si="245">AH224+AH227+AH228-AH213</f>
        <v>-5983115.3653398016</v>
      </c>
      <c r="AI229" s="413">
        <f t="shared" ref="AI229" si="246">AI224+AI227+AI228-AI213</f>
        <v>10512149.294783594</v>
      </c>
      <c r="AJ229" s="413">
        <f t="shared" ref="AJ229" si="247">AJ224+AJ227+AJ228-AJ213</f>
        <v>0</v>
      </c>
      <c r="AK229" s="413">
        <f t="shared" ref="AK229" si="248">AK224+AK227+AK228-AK213</f>
        <v>0</v>
      </c>
      <c r="AL229" s="413">
        <f t="shared" ref="AL229" si="249">AL224+AL227+AL228-AL213</f>
        <v>0</v>
      </c>
      <c r="AM229" s="413">
        <f t="shared" ref="AM229" si="250">AM224+AM227+AM228-AM213</f>
        <v>-6986472.0263135638</v>
      </c>
    </row>
    <row r="230" spans="1:42" s="182" customFormat="1" x14ac:dyDescent="0.3">
      <c r="A230" s="179"/>
      <c r="B230" s="179"/>
      <c r="C230" s="179"/>
      <c r="D230" s="180"/>
      <c r="E230" s="179"/>
      <c r="F230" s="260"/>
      <c r="G230" s="260"/>
      <c r="H230" s="260"/>
      <c r="I230" s="260"/>
      <c r="J230" s="260"/>
      <c r="K230" s="260"/>
      <c r="L230" s="260"/>
      <c r="M230" s="260"/>
      <c r="N230" s="260"/>
      <c r="O230" s="260"/>
      <c r="P230" s="260"/>
      <c r="Q230" s="260"/>
      <c r="R230" s="260"/>
      <c r="S230" s="260"/>
      <c r="T230" s="260"/>
      <c r="U230" s="260"/>
      <c r="V230" s="260"/>
      <c r="W230" s="260"/>
      <c r="X230" s="260"/>
      <c r="Y230" s="260"/>
      <c r="Z230" s="260"/>
      <c r="AA230" s="260"/>
      <c r="AB230" s="260"/>
      <c r="AC230" s="260"/>
      <c r="AD230" s="260"/>
      <c r="AE230" s="260"/>
      <c r="AF230" s="260"/>
      <c r="AG230" s="260"/>
      <c r="AH230" s="260"/>
      <c r="AI230" s="260"/>
      <c r="AJ230" s="260"/>
      <c r="AK230" s="260"/>
      <c r="AL230" s="260"/>
      <c r="AM230" s="260"/>
      <c r="AN230" s="181"/>
    </row>
    <row r="231" spans="1:42" x14ac:dyDescent="0.3">
      <c r="A231" s="47"/>
      <c r="B231" s="47"/>
      <c r="C231" s="2" t="s">
        <v>182</v>
      </c>
      <c r="D231" s="180"/>
      <c r="E231" s="175"/>
      <c r="F231" s="171">
        <f>E232</f>
        <v>0</v>
      </c>
      <c r="G231" s="171">
        <f t="shared" ref="G231:J231" si="251">F232</f>
        <v>0</v>
      </c>
      <c r="H231" s="171">
        <f t="shared" si="251"/>
        <v>0</v>
      </c>
      <c r="I231" s="171">
        <f t="shared" si="251"/>
        <v>0</v>
      </c>
      <c r="J231" s="171">
        <f t="shared" si="251"/>
        <v>100000</v>
      </c>
      <c r="K231" s="171">
        <f t="shared" ref="K231" si="252">J232</f>
        <v>3883.923756498596</v>
      </c>
      <c r="L231" s="171">
        <f t="shared" ref="L231" si="253">K232</f>
        <v>4356364.6394072939</v>
      </c>
      <c r="M231" s="171">
        <f t="shared" ref="M231" si="254">L232</f>
        <v>7119962.8037326634</v>
      </c>
      <c r="N231" s="171">
        <f t="shared" ref="N231" si="255">M232</f>
        <v>9869432.1780272871</v>
      </c>
      <c r="O231" s="171">
        <f t="shared" ref="O231" si="256">N232</f>
        <v>3641289.5549161788</v>
      </c>
      <c r="P231" s="171">
        <f t="shared" ref="P231" si="257">O232</f>
        <v>6833568.1190368291</v>
      </c>
      <c r="Q231" s="171">
        <f t="shared" ref="Q231" si="258">P232</f>
        <v>10518066.137872076</v>
      </c>
      <c r="R231" s="171">
        <f t="shared" ref="R231" si="259">Q232</f>
        <v>14181229.541617116</v>
      </c>
      <c r="S231" s="171">
        <f t="shared" ref="S231" si="260">R232</f>
        <v>18369037.816433094</v>
      </c>
      <c r="T231" s="171">
        <f t="shared" ref="T231" si="261">S232</f>
        <v>11844765.491646226</v>
      </c>
      <c r="U231" s="171">
        <f t="shared" ref="U231" si="262">T232</f>
        <v>14207065.34894322</v>
      </c>
      <c r="V231" s="171">
        <f t="shared" ref="V231" si="263">U232</f>
        <v>18904164.623457149</v>
      </c>
      <c r="W231" s="171">
        <f t="shared" ref="W231" si="264">V232</f>
        <v>24290765.577431306</v>
      </c>
      <c r="X231" s="171">
        <f t="shared" ref="X231" si="265">W232</f>
        <v>29736435.361550286</v>
      </c>
      <c r="Y231" s="171">
        <f t="shared" ref="Y231" si="266">X232</f>
        <v>23373901.604778301</v>
      </c>
      <c r="Z231" s="171">
        <f t="shared" ref="Z231" si="267">Y232</f>
        <v>26496755.733377174</v>
      </c>
      <c r="AA231" s="171">
        <f t="shared" ref="AA231" si="268">Z232</f>
        <v>28892190.850068945</v>
      </c>
      <c r="AB231" s="171">
        <f t="shared" ref="AB231" si="269">AA232</f>
        <v>36167360.440760955</v>
      </c>
      <c r="AC231" s="171">
        <f t="shared" ref="AC231" si="270">AB232</f>
        <v>44485037.976366222</v>
      </c>
      <c r="AD231" s="171">
        <f t="shared" ref="AD231" si="271">AC232</f>
        <v>38374513.728867151</v>
      </c>
      <c r="AE231" s="171">
        <f t="shared" ref="AE231" si="272">AD232</f>
        <v>44601832.403833106</v>
      </c>
      <c r="AF231" s="171">
        <f t="shared" ref="AF231" si="273">AE232</f>
        <v>50158764.473350696</v>
      </c>
      <c r="AG231" s="171">
        <f t="shared" ref="AG231" si="274">AF232</f>
        <v>60714118.095631704</v>
      </c>
      <c r="AH231" s="171">
        <f t="shared" ref="AH231" si="275">AG232</f>
        <v>70933369.380845934</v>
      </c>
      <c r="AI231" s="171">
        <f t="shared" ref="AI231" si="276">AH232</f>
        <v>64950254.015506133</v>
      </c>
      <c r="AJ231" s="171">
        <f t="shared" ref="AJ231" si="277">AI232</f>
        <v>75462403.310289726</v>
      </c>
      <c r="AK231" s="171">
        <f t="shared" ref="AK231" si="278">AJ232</f>
        <v>75462403.310289726</v>
      </c>
      <c r="AL231" s="171">
        <f t="shared" ref="AL231" si="279">AK232</f>
        <v>75462403.310289726</v>
      </c>
      <c r="AM231" s="171">
        <f t="shared" ref="AM231" si="280">AL232</f>
        <v>75462403.310289726</v>
      </c>
    </row>
    <row r="232" spans="1:42" x14ac:dyDescent="0.3">
      <c r="A232" s="47"/>
      <c r="B232" s="47"/>
      <c r="C232" s="2" t="s">
        <v>183</v>
      </c>
      <c r="D232" s="180" t="s">
        <v>214</v>
      </c>
      <c r="E232" s="416"/>
      <c r="F232" s="298">
        <f>F229+F231</f>
        <v>0</v>
      </c>
      <c r="G232" s="298">
        <f t="shared" ref="G232:I232" si="281">G229+G231</f>
        <v>0</v>
      </c>
      <c r="H232" s="298">
        <f t="shared" si="281"/>
        <v>0</v>
      </c>
      <c r="I232" s="298">
        <f t="shared" si="281"/>
        <v>100000</v>
      </c>
      <c r="J232" s="298">
        <f>J229+J231</f>
        <v>3883.923756498596</v>
      </c>
      <c r="K232" s="298">
        <f t="shared" ref="K232:AM232" si="282">K229+K231</f>
        <v>4356364.6394072939</v>
      </c>
      <c r="L232" s="298">
        <f t="shared" si="282"/>
        <v>7119962.8037326634</v>
      </c>
      <c r="M232" s="298">
        <f t="shared" si="282"/>
        <v>9869432.1780272871</v>
      </c>
      <c r="N232" s="298">
        <f t="shared" si="282"/>
        <v>3641289.5549161788</v>
      </c>
      <c r="O232" s="298">
        <f t="shared" si="282"/>
        <v>6833568.1190368291</v>
      </c>
      <c r="P232" s="298">
        <f t="shared" si="282"/>
        <v>10518066.137872076</v>
      </c>
      <c r="Q232" s="298">
        <f t="shared" si="282"/>
        <v>14181229.541617116</v>
      </c>
      <c r="R232" s="298">
        <f t="shared" si="282"/>
        <v>18369037.816433094</v>
      </c>
      <c r="S232" s="298">
        <f t="shared" si="282"/>
        <v>11844765.491646226</v>
      </c>
      <c r="T232" s="298">
        <f t="shared" si="282"/>
        <v>14207065.34894322</v>
      </c>
      <c r="U232" s="298">
        <f t="shared" si="282"/>
        <v>18904164.623457149</v>
      </c>
      <c r="V232" s="298">
        <f t="shared" si="282"/>
        <v>24290765.577431306</v>
      </c>
      <c r="W232" s="298">
        <f t="shared" si="282"/>
        <v>29736435.361550286</v>
      </c>
      <c r="X232" s="298">
        <f t="shared" si="282"/>
        <v>23373901.604778301</v>
      </c>
      <c r="Y232" s="298">
        <f t="shared" si="282"/>
        <v>26496755.733377174</v>
      </c>
      <c r="Z232" s="298">
        <f t="shared" si="282"/>
        <v>28892190.850068945</v>
      </c>
      <c r="AA232" s="298">
        <f t="shared" si="282"/>
        <v>36167360.440760955</v>
      </c>
      <c r="AB232" s="298">
        <f t="shared" si="282"/>
        <v>44485037.976366222</v>
      </c>
      <c r="AC232" s="298">
        <f t="shared" si="282"/>
        <v>38374513.728867151</v>
      </c>
      <c r="AD232" s="298">
        <f t="shared" si="282"/>
        <v>44601832.403833106</v>
      </c>
      <c r="AE232" s="298">
        <f t="shared" si="282"/>
        <v>50158764.473350696</v>
      </c>
      <c r="AF232" s="298">
        <f t="shared" si="282"/>
        <v>60714118.095631704</v>
      </c>
      <c r="AG232" s="298">
        <f t="shared" si="282"/>
        <v>70933369.380845934</v>
      </c>
      <c r="AH232" s="298">
        <f t="shared" si="282"/>
        <v>64950254.015506133</v>
      </c>
      <c r="AI232" s="298">
        <f t="shared" si="282"/>
        <v>75462403.310289726</v>
      </c>
      <c r="AJ232" s="298">
        <f t="shared" si="282"/>
        <v>75462403.310289726</v>
      </c>
      <c r="AK232" s="298">
        <f t="shared" si="282"/>
        <v>75462403.310289726</v>
      </c>
      <c r="AL232" s="298">
        <f t="shared" si="282"/>
        <v>75462403.310289726</v>
      </c>
      <c r="AM232" s="417">
        <f t="shared" si="282"/>
        <v>68475931.283976167</v>
      </c>
    </row>
    <row r="233" spans="1:42" x14ac:dyDescent="0.3">
      <c r="A233" s="47"/>
      <c r="B233" s="47"/>
      <c r="C233" s="47"/>
      <c r="D233" s="180"/>
      <c r="E233" s="414"/>
      <c r="F233" s="415"/>
      <c r="G233" s="415"/>
      <c r="H233" s="415"/>
      <c r="I233" s="415"/>
      <c r="J233" s="415"/>
      <c r="K233" s="415"/>
      <c r="L233" s="415"/>
      <c r="M233" s="415"/>
      <c r="N233" s="415"/>
      <c r="O233" s="415"/>
      <c r="P233" s="415"/>
      <c r="Q233" s="415"/>
      <c r="R233" s="415"/>
      <c r="S233" s="415"/>
      <c r="T233" s="415"/>
      <c r="U233" s="415"/>
      <c r="V233" s="415"/>
      <c r="W233" s="415"/>
      <c r="X233" s="415"/>
      <c r="Y233" s="415"/>
      <c r="Z233" s="415"/>
      <c r="AA233" s="415"/>
      <c r="AB233" s="415"/>
      <c r="AC233" s="415"/>
      <c r="AD233" s="415"/>
      <c r="AE233" s="415"/>
      <c r="AF233" s="415"/>
      <c r="AG233" s="415"/>
      <c r="AH233" s="415"/>
      <c r="AI233" s="415"/>
      <c r="AJ233" s="415"/>
      <c r="AK233" s="415"/>
      <c r="AL233" s="415"/>
      <c r="AM233" s="415"/>
      <c r="AN233" s="44"/>
      <c r="AO233" s="44"/>
      <c r="AP233" s="44"/>
    </row>
    <row r="234" spans="1:42" s="182" customFormat="1" x14ac:dyDescent="0.3">
      <c r="A234" s="179"/>
      <c r="B234" s="179"/>
      <c r="C234" s="179" t="s">
        <v>234</v>
      </c>
      <c r="D234" s="180" t="s">
        <v>214</v>
      </c>
      <c r="E234" s="164">
        <f t="shared" ref="E234:E235" si="283">SUM(F234:AM234)</f>
        <v>-68475931.283976167</v>
      </c>
      <c r="F234" s="228">
        <v>0</v>
      </c>
      <c r="G234" s="228">
        <v>0</v>
      </c>
      <c r="H234" s="228">
        <v>0</v>
      </c>
      <c r="I234" s="228">
        <v>0</v>
      </c>
      <c r="J234" s="228">
        <v>0</v>
      </c>
      <c r="K234" s="228">
        <v>0</v>
      </c>
      <c r="L234" s="228">
        <v>0</v>
      </c>
      <c r="M234" s="228">
        <v>0</v>
      </c>
      <c r="N234" s="228">
        <v>0</v>
      </c>
      <c r="O234" s="228">
        <v>0</v>
      </c>
      <c r="P234" s="228">
        <v>0</v>
      </c>
      <c r="Q234" s="228">
        <v>0</v>
      </c>
      <c r="R234" s="228">
        <v>0</v>
      </c>
      <c r="S234" s="228">
        <v>0</v>
      </c>
      <c r="T234" s="228">
        <v>0</v>
      </c>
      <c r="U234" s="228">
        <v>0</v>
      </c>
      <c r="V234" s="228">
        <v>0</v>
      </c>
      <c r="W234" s="228">
        <v>0</v>
      </c>
      <c r="X234" s="228">
        <v>0</v>
      </c>
      <c r="Y234" s="228">
        <v>0</v>
      </c>
      <c r="Z234" s="228">
        <v>0</v>
      </c>
      <c r="AA234" s="228">
        <v>0</v>
      </c>
      <c r="AB234" s="228">
        <v>0</v>
      </c>
      <c r="AC234" s="228">
        <v>0</v>
      </c>
      <c r="AD234" s="228">
        <v>0</v>
      </c>
      <c r="AE234" s="228">
        <v>0</v>
      </c>
      <c r="AF234" s="228">
        <v>0</v>
      </c>
      <c r="AG234" s="228">
        <v>0</v>
      </c>
      <c r="AH234" s="228">
        <v>0</v>
      </c>
      <c r="AI234" s="228">
        <v>0</v>
      </c>
      <c r="AJ234" s="228">
        <v>0</v>
      </c>
      <c r="AK234" s="228">
        <v>0</v>
      </c>
      <c r="AL234" s="228">
        <v>0</v>
      </c>
      <c r="AM234" s="228">
        <f>-AM232</f>
        <v>-68475931.283976167</v>
      </c>
    </row>
    <row r="235" spans="1:42" s="182" customFormat="1" x14ac:dyDescent="0.3">
      <c r="A235" s="179"/>
      <c r="B235" s="179"/>
      <c r="C235" s="179" t="s">
        <v>235</v>
      </c>
      <c r="D235" s="180" t="s">
        <v>214</v>
      </c>
      <c r="E235" s="164">
        <f t="shared" si="283"/>
        <v>0</v>
      </c>
      <c r="F235" s="228">
        <v>0</v>
      </c>
      <c r="G235" s="228">
        <v>0</v>
      </c>
      <c r="H235" s="228">
        <v>0</v>
      </c>
      <c r="I235" s="228">
        <v>0</v>
      </c>
      <c r="J235" s="228">
        <v>0</v>
      </c>
      <c r="K235" s="228">
        <v>0</v>
      </c>
      <c r="L235" s="228">
        <v>0</v>
      </c>
      <c r="M235" s="228">
        <v>0</v>
      </c>
      <c r="N235" s="228">
        <v>0</v>
      </c>
      <c r="O235" s="228">
        <v>0</v>
      </c>
      <c r="P235" s="228">
        <v>0</v>
      </c>
      <c r="Q235" s="228">
        <v>0</v>
      </c>
      <c r="R235" s="228">
        <v>0</v>
      </c>
      <c r="S235" s="228">
        <v>0</v>
      </c>
      <c r="T235" s="228">
        <v>0</v>
      </c>
      <c r="U235" s="228">
        <v>0</v>
      </c>
      <c r="V235" s="228">
        <v>0</v>
      </c>
      <c r="W235" s="228">
        <v>0</v>
      </c>
      <c r="X235" s="228">
        <v>0</v>
      </c>
      <c r="Y235" s="228">
        <v>0</v>
      </c>
      <c r="Z235" s="228">
        <v>0</v>
      </c>
      <c r="AA235" s="228">
        <v>0</v>
      </c>
      <c r="AB235" s="228">
        <v>0</v>
      </c>
      <c r="AC235" s="228">
        <v>0</v>
      </c>
      <c r="AD235" s="228">
        <v>0</v>
      </c>
      <c r="AE235" s="228">
        <v>0</v>
      </c>
      <c r="AF235" s="228">
        <v>0</v>
      </c>
      <c r="AG235" s="228">
        <v>0</v>
      </c>
      <c r="AH235" s="228">
        <v>0</v>
      </c>
      <c r="AI235" s="228">
        <v>0</v>
      </c>
      <c r="AJ235" s="228">
        <v>0</v>
      </c>
      <c r="AK235" s="228">
        <v>0</v>
      </c>
      <c r="AL235" s="228">
        <v>0</v>
      </c>
      <c r="AM235" s="441">
        <v>0</v>
      </c>
    </row>
    <row r="236" spans="1:42" s="44" customFormat="1" x14ac:dyDescent="0.3">
      <c r="A236" s="47"/>
      <c r="B236" s="47"/>
      <c r="C236" s="47"/>
      <c r="D236" s="180"/>
      <c r="E236" s="133"/>
      <c r="F236" s="134"/>
      <c r="G236" s="134"/>
      <c r="H236" s="134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  <c r="AA236" s="134"/>
      <c r="AB236" s="134"/>
      <c r="AC236" s="134"/>
      <c r="AD236" s="134"/>
      <c r="AE236" s="134"/>
      <c r="AF236" s="134"/>
      <c r="AG236" s="134"/>
      <c r="AH236" s="134"/>
      <c r="AI236" s="134"/>
      <c r="AJ236" s="134"/>
      <c r="AK236" s="134"/>
      <c r="AL236" s="134"/>
      <c r="AM236" s="134"/>
    </row>
    <row r="237" spans="1:42" s="44" customFormat="1" x14ac:dyDescent="0.3">
      <c r="A237" s="47"/>
      <c r="B237" s="47"/>
      <c r="C237" s="47"/>
      <c r="D237" s="180"/>
      <c r="E237" s="133"/>
      <c r="F237" s="134"/>
      <c r="G237" s="134"/>
      <c r="H237" s="134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  <c r="AA237" s="134"/>
      <c r="AB237" s="134"/>
      <c r="AC237" s="134"/>
      <c r="AD237" s="134"/>
      <c r="AE237" s="134"/>
      <c r="AF237" s="134"/>
      <c r="AG237" s="134"/>
      <c r="AH237" s="134"/>
      <c r="AI237" s="134"/>
      <c r="AJ237" s="134"/>
      <c r="AK237" s="134"/>
      <c r="AL237" s="134"/>
      <c r="AM237" s="134"/>
    </row>
    <row r="238" spans="1:42" s="44" customFormat="1" ht="21.6" x14ac:dyDescent="0.4">
      <c r="A238" s="47"/>
      <c r="B238" s="47"/>
      <c r="C238" s="106" t="s">
        <v>336</v>
      </c>
      <c r="D238" s="180"/>
      <c r="E238" s="133"/>
      <c r="F238" s="134"/>
      <c r="G238" s="134"/>
      <c r="H238" s="134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  <c r="AA238" s="134"/>
      <c r="AB238" s="134"/>
      <c r="AC238" s="134"/>
      <c r="AD238" s="134"/>
      <c r="AE238" s="134"/>
      <c r="AF238" s="134"/>
      <c r="AG238" s="134"/>
      <c r="AH238" s="134"/>
      <c r="AI238" s="134"/>
      <c r="AJ238" s="134"/>
      <c r="AK238" s="134"/>
      <c r="AL238" s="134"/>
      <c r="AM238" s="134"/>
    </row>
    <row r="239" spans="1:42" s="44" customFormat="1" x14ac:dyDescent="0.3">
      <c r="A239" s="47"/>
      <c r="B239" s="47"/>
      <c r="C239" s="47"/>
      <c r="D239" s="180"/>
      <c r="E239" s="133"/>
      <c r="F239" s="134"/>
      <c r="G239" s="134"/>
      <c r="H239" s="134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  <c r="AA239" s="134"/>
      <c r="AB239" s="134"/>
      <c r="AC239" s="134"/>
      <c r="AD239" s="134"/>
      <c r="AE239" s="134"/>
      <c r="AF239" s="134"/>
      <c r="AG239" s="134"/>
      <c r="AH239" s="134"/>
      <c r="AI239" s="134"/>
      <c r="AJ239" s="134"/>
      <c r="AK239" s="134"/>
      <c r="AL239" s="134"/>
      <c r="AM239" s="134"/>
    </row>
    <row r="240" spans="1:42" s="44" customFormat="1" x14ac:dyDescent="0.3">
      <c r="A240" s="47"/>
      <c r="B240" s="47"/>
      <c r="C240" s="364" t="str">
        <f>C157</f>
        <v>Municipal direct subsidies (if any)</v>
      </c>
      <c r="D240" s="180" t="s">
        <v>214</v>
      </c>
      <c r="E240" s="375">
        <f t="shared" ref="E240:AM240" si="284">E157</f>
        <v>18006245.498679101</v>
      </c>
      <c r="F240" s="387">
        <f t="shared" si="284"/>
        <v>0</v>
      </c>
      <c r="G240" s="387">
        <f t="shared" si="284"/>
        <v>0</v>
      </c>
      <c r="H240" s="387">
        <f t="shared" si="284"/>
        <v>0</v>
      </c>
      <c r="I240" s="387">
        <f t="shared" si="284"/>
        <v>0</v>
      </c>
      <c r="J240" s="387">
        <f t="shared" si="284"/>
        <v>441740.53437499993</v>
      </c>
      <c r="K240" s="387">
        <f t="shared" si="284"/>
        <v>452784.04773437488</v>
      </c>
      <c r="L240" s="387">
        <f t="shared" si="284"/>
        <v>461839.72868906241</v>
      </c>
      <c r="M240" s="387">
        <f t="shared" si="284"/>
        <v>471076.52326284366</v>
      </c>
      <c r="N240" s="387">
        <f t="shared" si="284"/>
        <v>480498.05372810055</v>
      </c>
      <c r="O240" s="387">
        <f t="shared" si="284"/>
        <v>490108.0148026626</v>
      </c>
      <c r="P240" s="387">
        <f t="shared" si="284"/>
        <v>499910.17509871587</v>
      </c>
      <c r="Q240" s="387">
        <f t="shared" si="284"/>
        <v>509908.37860069022</v>
      </c>
      <c r="R240" s="387">
        <f t="shared" si="284"/>
        <v>520106.54617270402</v>
      </c>
      <c r="S240" s="387">
        <f t="shared" si="284"/>
        <v>530508.67709615815</v>
      </c>
      <c r="T240" s="387">
        <f t="shared" si="284"/>
        <v>541118.85063808132</v>
      </c>
      <c r="U240" s="387">
        <f t="shared" si="284"/>
        <v>551941.22765084298</v>
      </c>
      <c r="V240" s="387">
        <f t="shared" si="284"/>
        <v>562980.0522038599</v>
      </c>
      <c r="W240" s="387">
        <f t="shared" si="284"/>
        <v>574239.65324793709</v>
      </c>
      <c r="X240" s="387">
        <f t="shared" si="284"/>
        <v>585724.44631289586</v>
      </c>
      <c r="Y240" s="387">
        <f t="shared" si="284"/>
        <v>597438.9352391538</v>
      </c>
      <c r="Z240" s="387">
        <f t="shared" si="284"/>
        <v>609387.71394393686</v>
      </c>
      <c r="AA240" s="387">
        <f t="shared" si="284"/>
        <v>621575.46822281566</v>
      </c>
      <c r="AB240" s="387">
        <f t="shared" si="284"/>
        <v>634006.97758727195</v>
      </c>
      <c r="AC240" s="387">
        <f t="shared" si="284"/>
        <v>646687.11713901744</v>
      </c>
      <c r="AD240" s="387">
        <f t="shared" si="284"/>
        <v>659620.85948179779</v>
      </c>
      <c r="AE240" s="387">
        <f t="shared" si="284"/>
        <v>672813.2766714337</v>
      </c>
      <c r="AF240" s="387">
        <f t="shared" si="284"/>
        <v>686269.54220486234</v>
      </c>
      <c r="AG240" s="387">
        <f t="shared" si="284"/>
        <v>699994.93304895959</v>
      </c>
      <c r="AH240" s="387">
        <f t="shared" si="284"/>
        <v>713994.83170993882</v>
      </c>
      <c r="AI240" s="387">
        <f t="shared" si="284"/>
        <v>728274.72834413766</v>
      </c>
      <c r="AJ240" s="387">
        <f t="shared" si="284"/>
        <v>742840.22291102039</v>
      </c>
      <c r="AK240" s="387">
        <f t="shared" si="284"/>
        <v>757697.02736924076</v>
      </c>
      <c r="AL240" s="387">
        <f t="shared" si="284"/>
        <v>772850.96791662555</v>
      </c>
      <c r="AM240" s="387">
        <f t="shared" si="284"/>
        <v>788307.98727495805</v>
      </c>
    </row>
    <row r="241" spans="1:80" s="44" customFormat="1" x14ac:dyDescent="0.3">
      <c r="A241" s="47"/>
      <c r="B241" s="47"/>
      <c r="C241" s="364" t="s">
        <v>349</v>
      </c>
      <c r="D241" s="180" t="s">
        <v>214</v>
      </c>
      <c r="E241" s="375">
        <f>-E203</f>
        <v>102999199.67178096</v>
      </c>
      <c r="F241" s="387">
        <f>-F203</f>
        <v>0</v>
      </c>
      <c r="G241" s="387">
        <f>-G203</f>
        <v>586853.53024427872</v>
      </c>
      <c r="H241" s="387">
        <f t="shared" ref="H241:AM241" si="285">-H203</f>
        <v>2978035.8640793907</v>
      </c>
      <c r="I241" s="387">
        <f t="shared" si="285"/>
        <v>9222765.7542621493</v>
      </c>
      <c r="J241" s="387">
        <f t="shared" si="285"/>
        <v>11359216.849373603</v>
      </c>
      <c r="K241" s="387">
        <f t="shared" si="285"/>
        <v>10825812.700779062</v>
      </c>
      <c r="L241" s="387">
        <f t="shared" si="285"/>
        <v>10192451.883767067</v>
      </c>
      <c r="M241" s="387">
        <f t="shared" si="285"/>
        <v>9546689.679719232</v>
      </c>
      <c r="N241" s="387">
        <f t="shared" si="285"/>
        <v>8855724.1213880479</v>
      </c>
      <c r="O241" s="387">
        <f t="shared" si="285"/>
        <v>8139390.5273717605</v>
      </c>
      <c r="P241" s="387">
        <f t="shared" si="285"/>
        <v>7325869.4484354807</v>
      </c>
      <c r="Q241" s="387">
        <f t="shared" si="285"/>
        <v>6479341.6470712153</v>
      </c>
      <c r="R241" s="387">
        <f t="shared" si="285"/>
        <v>5573556.8996114517</v>
      </c>
      <c r="S241" s="387">
        <f t="shared" si="285"/>
        <v>4617414.6925395308</v>
      </c>
      <c r="T241" s="387">
        <f t="shared" si="285"/>
        <v>3567638.8226890233</v>
      </c>
      <c r="U241" s="387">
        <f t="shared" si="285"/>
        <v>2457918.8243410112</v>
      </c>
      <c r="V241" s="387">
        <f t="shared" si="285"/>
        <v>1270518.4261086383</v>
      </c>
      <c r="W241" s="387">
        <f t="shared" si="285"/>
        <v>0</v>
      </c>
      <c r="X241" s="387">
        <f t="shared" si="285"/>
        <v>0</v>
      </c>
      <c r="Y241" s="387">
        <f t="shared" si="285"/>
        <v>0</v>
      </c>
      <c r="Z241" s="387">
        <f t="shared" si="285"/>
        <v>0</v>
      </c>
      <c r="AA241" s="387">
        <f t="shared" si="285"/>
        <v>0</v>
      </c>
      <c r="AB241" s="387">
        <f t="shared" si="285"/>
        <v>0</v>
      </c>
      <c r="AC241" s="387">
        <f t="shared" si="285"/>
        <v>0</v>
      </c>
      <c r="AD241" s="387">
        <f t="shared" si="285"/>
        <v>0</v>
      </c>
      <c r="AE241" s="387">
        <f t="shared" si="285"/>
        <v>0</v>
      </c>
      <c r="AF241" s="387">
        <f t="shared" si="285"/>
        <v>0</v>
      </c>
      <c r="AG241" s="387">
        <f t="shared" si="285"/>
        <v>0</v>
      </c>
      <c r="AH241" s="387">
        <f t="shared" si="285"/>
        <v>0</v>
      </c>
      <c r="AI241" s="387">
        <f t="shared" si="285"/>
        <v>0</v>
      </c>
      <c r="AJ241" s="387">
        <f t="shared" si="285"/>
        <v>0</v>
      </c>
      <c r="AK241" s="387">
        <f t="shared" si="285"/>
        <v>0</v>
      </c>
      <c r="AL241" s="387">
        <f t="shared" si="285"/>
        <v>0</v>
      </c>
      <c r="AM241" s="387">
        <f t="shared" si="285"/>
        <v>0</v>
      </c>
    </row>
    <row r="242" spans="1:80" s="44" customFormat="1" x14ac:dyDescent="0.3">
      <c r="A242" s="47"/>
      <c r="B242" s="47"/>
      <c r="C242" s="364" t="s">
        <v>350</v>
      </c>
      <c r="D242" s="180" t="s">
        <v>214</v>
      </c>
      <c r="E242" s="375">
        <f>E204</f>
        <v>170109410.55131397</v>
      </c>
      <c r="F242" s="387">
        <f>F204</f>
        <v>0</v>
      </c>
      <c r="G242" s="387">
        <f t="shared" ref="G242:AM242" si="286">G204</f>
        <v>299272.69118952251</v>
      </c>
      <c r="H242" s="387">
        <f t="shared" si="286"/>
        <v>1692997.4222453861</v>
      </c>
      <c r="I242" s="387">
        <f t="shared" si="286"/>
        <v>5842614.018256329</v>
      </c>
      <c r="J242" s="387">
        <f t="shared" si="286"/>
        <v>8057067.8676437605</v>
      </c>
      <c r="K242" s="387">
        <f t="shared" si="286"/>
        <v>8611003.0695924349</v>
      </c>
      <c r="L242" s="387">
        <f t="shared" si="286"/>
        <v>9225174.3435404915</v>
      </c>
      <c r="M242" s="387">
        <f t="shared" si="286"/>
        <v>9870936.5475883298</v>
      </c>
      <c r="N242" s="387">
        <f t="shared" si="286"/>
        <v>10561902.105919514</v>
      </c>
      <c r="O242" s="387">
        <f t="shared" si="286"/>
        <v>11293164.650545698</v>
      </c>
      <c r="P242" s="387">
        <f t="shared" si="286"/>
        <v>12093254.305203784</v>
      </c>
      <c r="Q242" s="387">
        <f t="shared" si="286"/>
        <v>12939782.10656805</v>
      </c>
      <c r="R242" s="387">
        <f t="shared" si="286"/>
        <v>13845566.854027811</v>
      </c>
      <c r="S242" s="387">
        <f t="shared" si="286"/>
        <v>14810405.67343542</v>
      </c>
      <c r="T242" s="387">
        <f t="shared" si="286"/>
        <v>15853142.833543014</v>
      </c>
      <c r="U242" s="387">
        <f t="shared" si="286"/>
        <v>16962862.831891026</v>
      </c>
      <c r="V242" s="387">
        <f t="shared" si="286"/>
        <v>18150263.230123401</v>
      </c>
      <c r="W242" s="387">
        <f t="shared" si="286"/>
        <v>0</v>
      </c>
      <c r="X242" s="387">
        <f t="shared" si="286"/>
        <v>0</v>
      </c>
      <c r="Y242" s="387">
        <f t="shared" si="286"/>
        <v>0</v>
      </c>
      <c r="Z242" s="387">
        <f t="shared" si="286"/>
        <v>0</v>
      </c>
      <c r="AA242" s="387">
        <f t="shared" si="286"/>
        <v>0</v>
      </c>
      <c r="AB242" s="387">
        <f t="shared" si="286"/>
        <v>0</v>
      </c>
      <c r="AC242" s="387">
        <f t="shared" si="286"/>
        <v>0</v>
      </c>
      <c r="AD242" s="387">
        <f t="shared" si="286"/>
        <v>0</v>
      </c>
      <c r="AE242" s="387">
        <f t="shared" si="286"/>
        <v>0</v>
      </c>
      <c r="AF242" s="387">
        <f t="shared" si="286"/>
        <v>0</v>
      </c>
      <c r="AG242" s="387">
        <f t="shared" si="286"/>
        <v>0</v>
      </c>
      <c r="AH242" s="387">
        <f t="shared" si="286"/>
        <v>0</v>
      </c>
      <c r="AI242" s="387">
        <f t="shared" si="286"/>
        <v>0</v>
      </c>
      <c r="AJ242" s="387">
        <f t="shared" si="286"/>
        <v>0</v>
      </c>
      <c r="AK242" s="387">
        <f t="shared" si="286"/>
        <v>0</v>
      </c>
      <c r="AL242" s="387">
        <f t="shared" si="286"/>
        <v>0</v>
      </c>
      <c r="AM242" s="387">
        <f t="shared" si="286"/>
        <v>0</v>
      </c>
    </row>
    <row r="243" spans="1:80" s="44" customFormat="1" x14ac:dyDescent="0.3">
      <c r="A243" s="47"/>
      <c r="B243" s="47"/>
      <c r="C243" s="364" t="str">
        <f>C235</f>
        <v>Close out: Asset transfer to municipality</v>
      </c>
      <c r="D243" s="180" t="s">
        <v>214</v>
      </c>
      <c r="E243" s="375">
        <f>-E235</f>
        <v>0</v>
      </c>
      <c r="F243" s="419">
        <f>-F235</f>
        <v>0</v>
      </c>
      <c r="G243" s="385">
        <f t="shared" ref="G243:AM243" si="287">-G235</f>
        <v>0</v>
      </c>
      <c r="H243" s="385">
        <f t="shared" si="287"/>
        <v>0</v>
      </c>
      <c r="I243" s="385">
        <f t="shared" si="287"/>
        <v>0</v>
      </c>
      <c r="J243" s="385">
        <f t="shared" si="287"/>
        <v>0</v>
      </c>
      <c r="K243" s="385">
        <f t="shared" si="287"/>
        <v>0</v>
      </c>
      <c r="L243" s="385">
        <f t="shared" si="287"/>
        <v>0</v>
      </c>
      <c r="M243" s="385">
        <f t="shared" si="287"/>
        <v>0</v>
      </c>
      <c r="N243" s="385">
        <f t="shared" si="287"/>
        <v>0</v>
      </c>
      <c r="O243" s="385">
        <f t="shared" si="287"/>
        <v>0</v>
      </c>
      <c r="P243" s="385">
        <f t="shared" si="287"/>
        <v>0</v>
      </c>
      <c r="Q243" s="385">
        <f t="shared" si="287"/>
        <v>0</v>
      </c>
      <c r="R243" s="385">
        <f t="shared" si="287"/>
        <v>0</v>
      </c>
      <c r="S243" s="385">
        <f t="shared" si="287"/>
        <v>0</v>
      </c>
      <c r="T243" s="385">
        <f t="shared" si="287"/>
        <v>0</v>
      </c>
      <c r="U243" s="385">
        <f t="shared" si="287"/>
        <v>0</v>
      </c>
      <c r="V243" s="385">
        <f t="shared" si="287"/>
        <v>0</v>
      </c>
      <c r="W243" s="385">
        <f t="shared" si="287"/>
        <v>0</v>
      </c>
      <c r="X243" s="385">
        <f t="shared" si="287"/>
        <v>0</v>
      </c>
      <c r="Y243" s="385">
        <f t="shared" si="287"/>
        <v>0</v>
      </c>
      <c r="Z243" s="385">
        <f t="shared" si="287"/>
        <v>0</v>
      </c>
      <c r="AA243" s="385">
        <f t="shared" si="287"/>
        <v>0</v>
      </c>
      <c r="AB243" s="385">
        <f t="shared" si="287"/>
        <v>0</v>
      </c>
      <c r="AC243" s="385">
        <f t="shared" si="287"/>
        <v>0</v>
      </c>
      <c r="AD243" s="385">
        <f t="shared" si="287"/>
        <v>0</v>
      </c>
      <c r="AE243" s="385">
        <f t="shared" si="287"/>
        <v>0</v>
      </c>
      <c r="AF243" s="385">
        <f t="shared" si="287"/>
        <v>0</v>
      </c>
      <c r="AG243" s="385">
        <f t="shared" si="287"/>
        <v>0</v>
      </c>
      <c r="AH243" s="385">
        <f t="shared" si="287"/>
        <v>0</v>
      </c>
      <c r="AI243" s="385">
        <f t="shared" si="287"/>
        <v>0</v>
      </c>
      <c r="AJ243" s="385">
        <f t="shared" si="287"/>
        <v>0</v>
      </c>
      <c r="AK243" s="385">
        <f t="shared" si="287"/>
        <v>0</v>
      </c>
      <c r="AL243" s="385">
        <f t="shared" si="287"/>
        <v>0</v>
      </c>
      <c r="AM243" s="385">
        <f t="shared" si="287"/>
        <v>0</v>
      </c>
    </row>
    <row r="244" spans="1:80" s="44" customFormat="1" x14ac:dyDescent="0.3">
      <c r="A244" s="47"/>
      <c r="B244" s="47"/>
      <c r="C244" s="420" t="s">
        <v>337</v>
      </c>
      <c r="D244" s="180" t="s">
        <v>214</v>
      </c>
      <c r="E244" s="375">
        <f>-E236</f>
        <v>0</v>
      </c>
      <c r="F244" s="387">
        <f>SUM(F240:F243)</f>
        <v>0</v>
      </c>
      <c r="G244" s="387">
        <f t="shared" ref="G244:AM244" si="288">SUM(G240:G243)</f>
        <v>886126.22143380123</v>
      </c>
      <c r="H244" s="387">
        <f t="shared" si="288"/>
        <v>4671033.2863247767</v>
      </c>
      <c r="I244" s="387">
        <f t="shared" si="288"/>
        <v>15065379.772518478</v>
      </c>
      <c r="J244" s="387">
        <f t="shared" si="288"/>
        <v>19858025.251392365</v>
      </c>
      <c r="K244" s="387">
        <f t="shared" si="288"/>
        <v>19889599.818105869</v>
      </c>
      <c r="L244" s="387">
        <f t="shared" si="288"/>
        <v>19879465.955996618</v>
      </c>
      <c r="M244" s="387">
        <f t="shared" si="288"/>
        <v>19888702.750570405</v>
      </c>
      <c r="N244" s="387">
        <f t="shared" si="288"/>
        <v>19898124.281035662</v>
      </c>
      <c r="O244" s="387">
        <f t="shared" si="288"/>
        <v>19922663.192720123</v>
      </c>
      <c r="P244" s="387">
        <f t="shared" si="288"/>
        <v>19919033.928737983</v>
      </c>
      <c r="Q244" s="387">
        <f t="shared" si="288"/>
        <v>19929032.132239956</v>
      </c>
      <c r="R244" s="387">
        <f t="shared" si="288"/>
        <v>19939230.299811967</v>
      </c>
      <c r="S244" s="387">
        <f t="shared" si="288"/>
        <v>19958329.04307111</v>
      </c>
      <c r="T244" s="387">
        <f t="shared" si="288"/>
        <v>19961900.506870117</v>
      </c>
      <c r="U244" s="387">
        <f t="shared" si="288"/>
        <v>19972722.88388288</v>
      </c>
      <c r="V244" s="387">
        <f t="shared" si="288"/>
        <v>19983761.708435901</v>
      </c>
      <c r="W244" s="387">
        <f t="shared" si="288"/>
        <v>574239.65324793709</v>
      </c>
      <c r="X244" s="387">
        <f t="shared" si="288"/>
        <v>585724.44631289586</v>
      </c>
      <c r="Y244" s="387">
        <f t="shared" si="288"/>
        <v>597438.9352391538</v>
      </c>
      <c r="Z244" s="387">
        <f t="shared" si="288"/>
        <v>609387.71394393686</v>
      </c>
      <c r="AA244" s="387">
        <f t="shared" si="288"/>
        <v>621575.46822281566</v>
      </c>
      <c r="AB244" s="387">
        <f t="shared" si="288"/>
        <v>634006.97758727195</v>
      </c>
      <c r="AC244" s="387">
        <f t="shared" si="288"/>
        <v>646687.11713901744</v>
      </c>
      <c r="AD244" s="387">
        <f t="shared" si="288"/>
        <v>659620.85948179779</v>
      </c>
      <c r="AE244" s="387">
        <f t="shared" si="288"/>
        <v>672813.2766714337</v>
      </c>
      <c r="AF244" s="387">
        <f t="shared" si="288"/>
        <v>686269.54220486234</v>
      </c>
      <c r="AG244" s="387">
        <f t="shared" si="288"/>
        <v>699994.93304895959</v>
      </c>
      <c r="AH244" s="387">
        <f t="shared" si="288"/>
        <v>713994.83170993882</v>
      </c>
      <c r="AI244" s="387">
        <f t="shared" si="288"/>
        <v>728274.72834413766</v>
      </c>
      <c r="AJ244" s="387">
        <f t="shared" si="288"/>
        <v>742840.22291102039</v>
      </c>
      <c r="AK244" s="387">
        <f t="shared" si="288"/>
        <v>757697.02736924076</v>
      </c>
      <c r="AL244" s="387">
        <f t="shared" si="288"/>
        <v>772850.96791662555</v>
      </c>
      <c r="AM244" s="387">
        <f t="shared" si="288"/>
        <v>788307.98727495805</v>
      </c>
    </row>
    <row r="245" spans="1:80" ht="15" thickBot="1" x14ac:dyDescent="0.35">
      <c r="A245" s="47"/>
      <c r="B245" s="47"/>
      <c r="C245" s="2"/>
      <c r="D245" s="110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</row>
    <row r="246" spans="1:80" ht="21.6" thickBot="1" x14ac:dyDescent="0.45">
      <c r="A246" s="47"/>
      <c r="B246" s="47"/>
      <c r="C246" s="237" t="s">
        <v>190</v>
      </c>
      <c r="D246" s="238"/>
      <c r="E246" s="239"/>
      <c r="F246" s="239"/>
      <c r="G246" s="239"/>
      <c r="H246" s="239"/>
      <c r="I246" s="239"/>
      <c r="J246" s="239"/>
      <c r="K246" s="239"/>
      <c r="L246" s="239"/>
      <c r="M246" s="239"/>
      <c r="N246" s="239"/>
      <c r="O246" s="239"/>
      <c r="P246" s="239"/>
      <c r="Q246" s="239"/>
      <c r="R246" s="239"/>
      <c r="S246" s="239"/>
      <c r="T246" s="239"/>
      <c r="U246" s="239"/>
      <c r="V246" s="239"/>
      <c r="W246" s="239"/>
      <c r="X246" s="239"/>
      <c r="Y246" s="239"/>
      <c r="Z246" s="239"/>
      <c r="AA246" s="239"/>
      <c r="AB246" s="239"/>
      <c r="AC246" s="239"/>
      <c r="AD246" s="239"/>
      <c r="AE246" s="239"/>
      <c r="AF246" s="239"/>
      <c r="AG246" s="239"/>
      <c r="AH246" s="239"/>
      <c r="AI246" s="239"/>
      <c r="AJ246" s="239"/>
      <c r="AK246" s="239"/>
      <c r="AL246" s="239"/>
      <c r="AM246" s="240"/>
      <c r="AO246" s="44"/>
      <c r="AP246" s="44"/>
      <c r="AQ246" s="44"/>
      <c r="AR246" s="44"/>
      <c r="AS246" s="44"/>
      <c r="AT246" s="44"/>
      <c r="AU246" s="44"/>
      <c r="AV246" s="44"/>
      <c r="AW246" s="44"/>
      <c r="AX246" s="44"/>
      <c r="AY246" s="44"/>
      <c r="AZ246" s="44"/>
      <c r="BA246" s="44"/>
      <c r="BB246" s="44"/>
      <c r="BC246" s="44"/>
      <c r="BD246" s="44"/>
      <c r="BE246" s="44"/>
      <c r="BF246" s="44"/>
      <c r="BG246" s="44"/>
      <c r="BH246" s="44"/>
      <c r="BI246" s="44"/>
      <c r="BJ246" s="44"/>
      <c r="BK246" s="44"/>
      <c r="BL246" s="44"/>
      <c r="BM246" s="44"/>
      <c r="BN246" s="44"/>
      <c r="BO246" s="44"/>
      <c r="BP246" s="44"/>
      <c r="BQ246" s="44"/>
      <c r="BR246" s="44"/>
      <c r="BS246" s="44"/>
      <c r="BT246" s="44"/>
      <c r="BU246" s="44"/>
      <c r="BV246" s="44"/>
      <c r="BW246" s="44"/>
      <c r="BX246" s="44"/>
      <c r="BY246" s="44"/>
      <c r="BZ246" s="44"/>
      <c r="CA246" s="44"/>
      <c r="CB246" s="44"/>
    </row>
    <row r="247" spans="1:80" s="44" customFormat="1" ht="16.5" customHeight="1" x14ac:dyDescent="0.4">
      <c r="A247" s="47"/>
      <c r="B247" s="47"/>
      <c r="C247" s="126"/>
      <c r="D247" s="128"/>
      <c r="E247" s="47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  <c r="X247" s="47"/>
      <c r="Y247" s="47"/>
      <c r="Z247" s="47"/>
      <c r="AA247" s="47"/>
      <c r="AB247" s="47"/>
      <c r="AC247" s="47"/>
      <c r="AD247" s="47"/>
    </row>
    <row r="248" spans="1:80" s="44" customFormat="1" ht="16.8" x14ac:dyDescent="0.3">
      <c r="A248" s="125"/>
      <c r="B248" s="125"/>
      <c r="C248" s="47" t="s">
        <v>138</v>
      </c>
      <c r="E248" s="130"/>
      <c r="F248" s="224">
        <f t="shared" ref="F248:AM248" si="289">F77</f>
        <v>42369</v>
      </c>
      <c r="G248" s="224">
        <f t="shared" si="289"/>
        <v>42735</v>
      </c>
      <c r="H248" s="224">
        <f t="shared" si="289"/>
        <v>43100</v>
      </c>
      <c r="I248" s="224">
        <f t="shared" si="289"/>
        <v>43465</v>
      </c>
      <c r="J248" s="224">
        <f t="shared" si="289"/>
        <v>43830</v>
      </c>
      <c r="K248" s="224">
        <f t="shared" si="289"/>
        <v>44196</v>
      </c>
      <c r="L248" s="224">
        <f t="shared" si="289"/>
        <v>44561</v>
      </c>
      <c r="M248" s="224">
        <f t="shared" si="289"/>
        <v>44926</v>
      </c>
      <c r="N248" s="224">
        <f t="shared" si="289"/>
        <v>45291</v>
      </c>
      <c r="O248" s="224">
        <f t="shared" si="289"/>
        <v>45657</v>
      </c>
      <c r="P248" s="224">
        <f t="shared" si="289"/>
        <v>46022</v>
      </c>
      <c r="Q248" s="224">
        <f t="shared" si="289"/>
        <v>46387</v>
      </c>
      <c r="R248" s="224">
        <f t="shared" si="289"/>
        <v>46752</v>
      </c>
      <c r="S248" s="224">
        <f t="shared" si="289"/>
        <v>47118</v>
      </c>
      <c r="T248" s="224">
        <f t="shared" si="289"/>
        <v>47483</v>
      </c>
      <c r="U248" s="224">
        <f t="shared" si="289"/>
        <v>47848</v>
      </c>
      <c r="V248" s="224">
        <f t="shared" si="289"/>
        <v>48213</v>
      </c>
      <c r="W248" s="224">
        <f t="shared" si="289"/>
        <v>48579</v>
      </c>
      <c r="X248" s="224">
        <f t="shared" si="289"/>
        <v>48944</v>
      </c>
      <c r="Y248" s="224">
        <f t="shared" si="289"/>
        <v>49309</v>
      </c>
      <c r="Z248" s="224">
        <f t="shared" si="289"/>
        <v>49674</v>
      </c>
      <c r="AA248" s="224">
        <f t="shared" si="289"/>
        <v>50040</v>
      </c>
      <c r="AB248" s="224">
        <f t="shared" si="289"/>
        <v>50405</v>
      </c>
      <c r="AC248" s="224">
        <f t="shared" si="289"/>
        <v>50770</v>
      </c>
      <c r="AD248" s="224">
        <f t="shared" si="289"/>
        <v>51135</v>
      </c>
      <c r="AE248" s="224">
        <f t="shared" si="289"/>
        <v>51501</v>
      </c>
      <c r="AF248" s="224">
        <f t="shared" si="289"/>
        <v>51866</v>
      </c>
      <c r="AG248" s="224">
        <f t="shared" si="289"/>
        <v>52231</v>
      </c>
      <c r="AH248" s="224">
        <f t="shared" si="289"/>
        <v>52596</v>
      </c>
      <c r="AI248" s="224">
        <f t="shared" si="289"/>
        <v>52962</v>
      </c>
      <c r="AJ248" s="224">
        <f t="shared" si="289"/>
        <v>53327</v>
      </c>
      <c r="AK248" s="224">
        <f t="shared" si="289"/>
        <v>53692</v>
      </c>
      <c r="AL248" s="224">
        <f t="shared" si="289"/>
        <v>54057</v>
      </c>
      <c r="AM248" s="224">
        <f t="shared" si="289"/>
        <v>54423</v>
      </c>
    </row>
    <row r="249" spans="1:80" s="44" customFormat="1" x14ac:dyDescent="0.3">
      <c r="A249" s="47"/>
      <c r="B249" s="47"/>
      <c r="C249" s="47" t="str">
        <f>C214</f>
        <v>Cashflow before Funding</v>
      </c>
      <c r="D249" s="156" t="s">
        <v>214</v>
      </c>
      <c r="E249" s="164">
        <f>SUM(F249:AM249)</f>
        <v>-179301328.58766252</v>
      </c>
      <c r="F249" s="170">
        <f t="shared" ref="F249:AM249" si="290">F214</f>
        <v>-8360015.7805858571</v>
      </c>
      <c r="G249" s="170">
        <f t="shared" si="290"/>
        <v>-34483054.828158148</v>
      </c>
      <c r="H249" s="170">
        <f t="shared" si="290"/>
        <v>-90904333.468190819</v>
      </c>
      <c r="I249" s="170">
        <f t="shared" si="290"/>
        <v>-36363707.585495777</v>
      </c>
      <c r="J249" s="170">
        <f t="shared" si="290"/>
        <v>-537851.39609510172</v>
      </c>
      <c r="K249" s="170">
        <f t="shared" si="290"/>
        <v>1723473.7136191688</v>
      </c>
      <c r="L249" s="170">
        <f t="shared" si="290"/>
        <v>919976.73631819524</v>
      </c>
      <c r="M249" s="170">
        <f t="shared" si="290"/>
        <v>903675.54672904033</v>
      </c>
      <c r="N249" s="170">
        <f t="shared" si="290"/>
        <v>-6708635.4619858367</v>
      </c>
      <c r="O249" s="170">
        <f t="shared" si="290"/>
        <v>1106048.6672808975</v>
      </c>
      <c r="P249" s="170">
        <f t="shared" si="290"/>
        <v>1342356.2183989249</v>
      </c>
      <c r="Q249" s="170">
        <f t="shared" si="290"/>
        <v>1321690.7073518476</v>
      </c>
      <c r="R249" s="170">
        <f t="shared" si="290"/>
        <v>1573814.9753153035</v>
      </c>
      <c r="S249" s="170">
        <f t="shared" si="290"/>
        <v>-9840582.3161518592</v>
      </c>
      <c r="T249" s="170">
        <f t="shared" si="290"/>
        <v>-1704258.9125166666</v>
      </c>
      <c r="U249" s="170">
        <f t="shared" si="290"/>
        <v>1796625.7950624125</v>
      </c>
      <c r="V249" s="170">
        <f t="shared" si="290"/>
        <v>2130337.8102395106</v>
      </c>
      <c r="W249" s="170">
        <f t="shared" si="290"/>
        <v>2148612.630568888</v>
      </c>
      <c r="X249" s="170">
        <f t="shared" si="290"/>
        <v>-10184826.270181403</v>
      </c>
      <c r="Y249" s="170">
        <f t="shared" si="290"/>
        <v>-7368122.250577135</v>
      </c>
      <c r="Z249" s="170">
        <f t="shared" si="290"/>
        <v>-1734584.1571196793</v>
      </c>
      <c r="AA249" s="170">
        <f t="shared" si="290"/>
        <v>3016009.3271231912</v>
      </c>
      <c r="AB249" s="170">
        <f t="shared" si="290"/>
        <v>3524831.7902153609</v>
      </c>
      <c r="AC249" s="170">
        <f t="shared" si="290"/>
        <v>-6757211.3646380864</v>
      </c>
      <c r="AD249" s="170">
        <f t="shared" si="290"/>
        <v>725620.20772256749</v>
      </c>
      <c r="AE249" s="170">
        <f t="shared" si="290"/>
        <v>-81668.396920256317</v>
      </c>
      <c r="AF249" s="170">
        <f t="shared" si="290"/>
        <v>4591407.2689356431</v>
      </c>
      <c r="AG249" s="170">
        <f t="shared" si="290"/>
        <v>4409630.7095581545</v>
      </c>
      <c r="AH249" s="170">
        <f t="shared" si="290"/>
        <v>-6697110.1970497407</v>
      </c>
      <c r="AI249" s="170">
        <f t="shared" si="290"/>
        <v>4527799.9190476593</v>
      </c>
      <c r="AJ249" s="170">
        <f t="shared" si="290"/>
        <v>4847524.2482870948</v>
      </c>
      <c r="AK249" s="170">
        <f t="shared" si="290"/>
        <v>4647361.6091608927</v>
      </c>
      <c r="AL249" s="170">
        <f t="shared" si="290"/>
        <v>4942615.9306575665</v>
      </c>
      <c r="AM249" s="170">
        <f t="shared" si="290"/>
        <v>-7774780.0135885216</v>
      </c>
    </row>
    <row r="250" spans="1:80" s="44" customFormat="1" x14ac:dyDescent="0.3">
      <c r="A250" s="47"/>
      <c r="B250" s="47"/>
      <c r="C250" s="47" t="s">
        <v>236</v>
      </c>
      <c r="D250" s="156" t="s">
        <v>214</v>
      </c>
      <c r="E250" s="164">
        <f>SUM(F250:AM250)</f>
        <v>0</v>
      </c>
      <c r="F250" s="309">
        <f>-F235</f>
        <v>0</v>
      </c>
      <c r="G250" s="309">
        <f t="shared" ref="G250:AM250" si="291">-G235</f>
        <v>0</v>
      </c>
      <c r="H250" s="309">
        <f t="shared" si="291"/>
        <v>0</v>
      </c>
      <c r="I250" s="309">
        <f t="shared" si="291"/>
        <v>0</v>
      </c>
      <c r="J250" s="309">
        <f t="shared" si="291"/>
        <v>0</v>
      </c>
      <c r="K250" s="309">
        <f t="shared" si="291"/>
        <v>0</v>
      </c>
      <c r="L250" s="309">
        <f t="shared" si="291"/>
        <v>0</v>
      </c>
      <c r="M250" s="309">
        <f t="shared" si="291"/>
        <v>0</v>
      </c>
      <c r="N250" s="309">
        <f t="shared" si="291"/>
        <v>0</v>
      </c>
      <c r="O250" s="309">
        <f t="shared" si="291"/>
        <v>0</v>
      </c>
      <c r="P250" s="309">
        <f t="shared" si="291"/>
        <v>0</v>
      </c>
      <c r="Q250" s="309">
        <f t="shared" si="291"/>
        <v>0</v>
      </c>
      <c r="R250" s="309">
        <f t="shared" si="291"/>
        <v>0</v>
      </c>
      <c r="S250" s="309">
        <f t="shared" si="291"/>
        <v>0</v>
      </c>
      <c r="T250" s="309">
        <f t="shared" si="291"/>
        <v>0</v>
      </c>
      <c r="U250" s="309">
        <f t="shared" si="291"/>
        <v>0</v>
      </c>
      <c r="V250" s="309">
        <f t="shared" si="291"/>
        <v>0</v>
      </c>
      <c r="W250" s="309">
        <f t="shared" si="291"/>
        <v>0</v>
      </c>
      <c r="X250" s="309">
        <f t="shared" si="291"/>
        <v>0</v>
      </c>
      <c r="Y250" s="309">
        <f t="shared" si="291"/>
        <v>0</v>
      </c>
      <c r="Z250" s="309">
        <f t="shared" si="291"/>
        <v>0</v>
      </c>
      <c r="AA250" s="309">
        <f t="shared" si="291"/>
        <v>0</v>
      </c>
      <c r="AB250" s="309">
        <f t="shared" si="291"/>
        <v>0</v>
      </c>
      <c r="AC250" s="309">
        <f t="shared" si="291"/>
        <v>0</v>
      </c>
      <c r="AD250" s="309">
        <f t="shared" si="291"/>
        <v>0</v>
      </c>
      <c r="AE250" s="309">
        <f t="shared" si="291"/>
        <v>0</v>
      </c>
      <c r="AF250" s="309">
        <f t="shared" si="291"/>
        <v>0</v>
      </c>
      <c r="AG250" s="309">
        <f t="shared" si="291"/>
        <v>0</v>
      </c>
      <c r="AH250" s="309">
        <f t="shared" si="291"/>
        <v>0</v>
      </c>
      <c r="AI250" s="309">
        <f t="shared" si="291"/>
        <v>0</v>
      </c>
      <c r="AJ250" s="309">
        <f t="shared" si="291"/>
        <v>0</v>
      </c>
      <c r="AK250" s="309">
        <f t="shared" si="291"/>
        <v>0</v>
      </c>
      <c r="AL250" s="309">
        <f t="shared" si="291"/>
        <v>0</v>
      </c>
      <c r="AM250" s="309">
        <f t="shared" si="291"/>
        <v>0</v>
      </c>
    </row>
    <row r="251" spans="1:80" s="44" customFormat="1" x14ac:dyDescent="0.3">
      <c r="A251" s="47"/>
      <c r="B251" s="47"/>
      <c r="C251" s="2" t="s">
        <v>237</v>
      </c>
      <c r="D251" s="156" t="s">
        <v>214</v>
      </c>
      <c r="E251" s="223"/>
      <c r="F251" s="170">
        <f>SUM(F249:F250)</f>
        <v>-8360015.7805858571</v>
      </c>
      <c r="G251" s="170">
        <f t="shared" ref="G251:AM251" si="292">SUM(G249:G250)</f>
        <v>-34483054.828158148</v>
      </c>
      <c r="H251" s="170">
        <f t="shared" si="292"/>
        <v>-90904333.468190819</v>
      </c>
      <c r="I251" s="170">
        <f t="shared" si="292"/>
        <v>-36363707.585495777</v>
      </c>
      <c r="J251" s="170">
        <f t="shared" si="292"/>
        <v>-537851.39609510172</v>
      </c>
      <c r="K251" s="170">
        <f t="shared" si="292"/>
        <v>1723473.7136191688</v>
      </c>
      <c r="L251" s="170">
        <f t="shared" si="292"/>
        <v>919976.73631819524</v>
      </c>
      <c r="M251" s="170">
        <f t="shared" si="292"/>
        <v>903675.54672904033</v>
      </c>
      <c r="N251" s="170">
        <f t="shared" si="292"/>
        <v>-6708635.4619858367</v>
      </c>
      <c r="O251" s="170">
        <f t="shared" si="292"/>
        <v>1106048.6672808975</v>
      </c>
      <c r="P251" s="170">
        <f t="shared" si="292"/>
        <v>1342356.2183989249</v>
      </c>
      <c r="Q251" s="170">
        <f t="shared" si="292"/>
        <v>1321690.7073518476</v>
      </c>
      <c r="R251" s="170">
        <f t="shared" si="292"/>
        <v>1573814.9753153035</v>
      </c>
      <c r="S251" s="170">
        <f t="shared" si="292"/>
        <v>-9840582.3161518592</v>
      </c>
      <c r="T251" s="170">
        <f t="shared" si="292"/>
        <v>-1704258.9125166666</v>
      </c>
      <c r="U251" s="170">
        <f t="shared" si="292"/>
        <v>1796625.7950624125</v>
      </c>
      <c r="V251" s="170">
        <f t="shared" si="292"/>
        <v>2130337.8102395106</v>
      </c>
      <c r="W251" s="170">
        <f t="shared" si="292"/>
        <v>2148612.630568888</v>
      </c>
      <c r="X251" s="170">
        <f t="shared" si="292"/>
        <v>-10184826.270181403</v>
      </c>
      <c r="Y251" s="170">
        <f t="shared" si="292"/>
        <v>-7368122.250577135</v>
      </c>
      <c r="Z251" s="170">
        <f t="shared" si="292"/>
        <v>-1734584.1571196793</v>
      </c>
      <c r="AA251" s="170">
        <f t="shared" si="292"/>
        <v>3016009.3271231912</v>
      </c>
      <c r="AB251" s="170">
        <f t="shared" si="292"/>
        <v>3524831.7902153609</v>
      </c>
      <c r="AC251" s="170">
        <f t="shared" si="292"/>
        <v>-6757211.3646380864</v>
      </c>
      <c r="AD251" s="170">
        <f t="shared" si="292"/>
        <v>725620.20772256749</v>
      </c>
      <c r="AE251" s="170">
        <f t="shared" si="292"/>
        <v>-81668.396920256317</v>
      </c>
      <c r="AF251" s="170">
        <f t="shared" si="292"/>
        <v>4591407.2689356431</v>
      </c>
      <c r="AG251" s="170">
        <f t="shared" si="292"/>
        <v>4409630.7095581545</v>
      </c>
      <c r="AH251" s="170">
        <f t="shared" si="292"/>
        <v>-6697110.1970497407</v>
      </c>
      <c r="AI251" s="170">
        <f t="shared" si="292"/>
        <v>4527799.9190476593</v>
      </c>
      <c r="AJ251" s="170">
        <f t="shared" si="292"/>
        <v>4847524.2482870948</v>
      </c>
      <c r="AK251" s="170">
        <f t="shared" si="292"/>
        <v>4647361.6091608927</v>
      </c>
      <c r="AL251" s="170">
        <f t="shared" si="292"/>
        <v>4942615.9306575665</v>
      </c>
      <c r="AM251" s="170">
        <f t="shared" si="292"/>
        <v>-7774780.0135885216</v>
      </c>
    </row>
    <row r="252" spans="1:80" s="44" customFormat="1" x14ac:dyDescent="0.3">
      <c r="A252" s="47"/>
      <c r="B252" s="47"/>
      <c r="C252" s="47" t="s">
        <v>127</v>
      </c>
      <c r="E252" s="47"/>
    </row>
    <row r="253" spans="1:80" s="44" customFormat="1" x14ac:dyDescent="0.3">
      <c r="A253" s="47"/>
      <c r="B253" s="47"/>
      <c r="C253" s="47"/>
      <c r="D253" s="107"/>
      <c r="E253" s="47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  <c r="X253" s="47"/>
      <c r="Y253" s="47"/>
      <c r="Z253" s="47"/>
      <c r="AA253" s="47"/>
      <c r="AB253" s="47"/>
      <c r="AC253" s="47"/>
      <c r="AD253" s="47"/>
    </row>
    <row r="254" spans="1:80" s="44" customFormat="1" x14ac:dyDescent="0.3">
      <c r="A254" s="47"/>
      <c r="B254" s="47"/>
      <c r="C254" s="47" t="s">
        <v>148</v>
      </c>
      <c r="D254" s="107" t="s">
        <v>136</v>
      </c>
      <c r="E254" s="302">
        <f>E29</f>
        <v>0.13</v>
      </c>
      <c r="F254" s="141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  <c r="X254" s="47"/>
      <c r="Y254" s="47"/>
      <c r="Z254" s="47"/>
      <c r="AA254" s="47"/>
      <c r="AB254" s="47"/>
      <c r="AC254" s="47"/>
      <c r="AD254" s="47"/>
    </row>
    <row r="255" spans="1:80" s="44" customFormat="1" x14ac:dyDescent="0.3">
      <c r="A255" s="47"/>
      <c r="B255" s="47"/>
      <c r="C255" s="47" t="s">
        <v>191</v>
      </c>
      <c r="D255" s="156" t="s">
        <v>214</v>
      </c>
      <c r="E255" s="305">
        <f>NPV(E254,F251:AM251)</f>
        <v>-121942375.66610985</v>
      </c>
      <c r="F255" s="141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  <c r="X255" s="47"/>
      <c r="Y255" s="47"/>
      <c r="Z255" s="47"/>
      <c r="AA255" s="47"/>
      <c r="AB255" s="47"/>
      <c r="AC255" s="47"/>
      <c r="AD255" s="47"/>
    </row>
    <row r="256" spans="1:80" s="44" customFormat="1" x14ac:dyDescent="0.3">
      <c r="A256" s="47"/>
      <c r="B256" s="47"/>
      <c r="C256" s="47"/>
      <c r="D256" s="107"/>
      <c r="E256" s="141"/>
      <c r="F256" s="141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  <c r="X256" s="47"/>
      <c r="Y256" s="47"/>
      <c r="Z256" s="47"/>
      <c r="AA256" s="47"/>
      <c r="AB256" s="47"/>
      <c r="AC256" s="47"/>
      <c r="AD256" s="47"/>
    </row>
    <row r="257" spans="1:80" s="44" customFormat="1" x14ac:dyDescent="0.3">
      <c r="A257" s="47"/>
      <c r="B257" s="47"/>
      <c r="C257" s="47" t="s">
        <v>133</v>
      </c>
      <c r="D257" s="107" t="s">
        <v>136</v>
      </c>
      <c r="E257" s="310">
        <f>IRR(F251:AM251)</f>
        <v>-0.11948667916206979</v>
      </c>
      <c r="F257" s="141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  <c r="X257" s="47"/>
      <c r="Y257" s="47"/>
      <c r="Z257" s="47"/>
      <c r="AA257" s="47"/>
      <c r="AB257" s="47"/>
      <c r="AC257" s="47"/>
      <c r="AD257" s="47"/>
    </row>
    <row r="258" spans="1:80" s="44" customFormat="1" x14ac:dyDescent="0.3">
      <c r="A258" s="47"/>
      <c r="B258" s="47"/>
      <c r="C258" s="47" t="s">
        <v>192</v>
      </c>
      <c r="D258" s="156" t="s">
        <v>214</v>
      </c>
      <c r="E258" s="311">
        <f>NPV(E257,F251:AM251)</f>
        <v>3.3846532110762708E-7</v>
      </c>
      <c r="F258" s="303">
        <f>IF(ROUND(E258,3)=0,0,1)</f>
        <v>0</v>
      </c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  <c r="X258" s="47"/>
      <c r="Y258" s="47"/>
      <c r="Z258" s="47"/>
      <c r="AA258" s="47"/>
      <c r="AB258" s="47"/>
      <c r="AC258" s="47"/>
      <c r="AD258" s="47"/>
    </row>
    <row r="259" spans="1:80" x14ac:dyDescent="0.3">
      <c r="A259" s="47"/>
      <c r="B259" s="47"/>
      <c r="C259" s="2"/>
      <c r="D259" s="107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</row>
    <row r="260" spans="1:80" ht="15" thickBot="1" x14ac:dyDescent="0.35">
      <c r="A260" s="47"/>
      <c r="B260" s="47"/>
      <c r="C260" s="2"/>
      <c r="D260" s="107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</row>
    <row r="261" spans="1:80" ht="21.6" thickBot="1" x14ac:dyDescent="0.45">
      <c r="A261" s="47"/>
      <c r="B261" s="47"/>
      <c r="C261" s="237" t="s">
        <v>193</v>
      </c>
      <c r="D261" s="238"/>
      <c r="E261" s="239"/>
      <c r="F261" s="239"/>
      <c r="G261" s="239"/>
      <c r="H261" s="239"/>
      <c r="I261" s="239"/>
      <c r="J261" s="239"/>
      <c r="K261" s="239"/>
      <c r="L261" s="239"/>
      <c r="M261" s="239"/>
      <c r="N261" s="239"/>
      <c r="O261" s="239"/>
      <c r="P261" s="239"/>
      <c r="Q261" s="239"/>
      <c r="R261" s="239"/>
      <c r="S261" s="239"/>
      <c r="T261" s="239"/>
      <c r="U261" s="239"/>
      <c r="V261" s="239"/>
      <c r="W261" s="239"/>
      <c r="X261" s="239"/>
      <c r="Y261" s="239"/>
      <c r="Z261" s="239"/>
      <c r="AA261" s="239"/>
      <c r="AB261" s="239"/>
      <c r="AC261" s="239"/>
      <c r="AD261" s="239"/>
      <c r="AE261" s="239"/>
      <c r="AF261" s="239"/>
      <c r="AG261" s="239"/>
      <c r="AH261" s="239"/>
      <c r="AI261" s="239"/>
      <c r="AJ261" s="239"/>
      <c r="AK261" s="239"/>
      <c r="AL261" s="239"/>
      <c r="AM261" s="240"/>
      <c r="AO261" s="44"/>
      <c r="AP261" s="44"/>
      <c r="AQ261" s="44"/>
      <c r="AR261" s="44"/>
      <c r="AS261" s="44"/>
      <c r="AT261" s="44"/>
      <c r="AU261" s="44"/>
      <c r="AV261" s="44"/>
      <c r="AW261" s="44"/>
      <c r="AX261" s="44"/>
      <c r="AY261" s="44"/>
      <c r="AZ261" s="44"/>
      <c r="BA261" s="44"/>
      <c r="BB261" s="44"/>
      <c r="BC261" s="44"/>
      <c r="BD261" s="44"/>
      <c r="BE261" s="44"/>
      <c r="BF261" s="44"/>
      <c r="BG261" s="44"/>
      <c r="BH261" s="44"/>
      <c r="BI261" s="44"/>
      <c r="BJ261" s="44"/>
      <c r="BK261" s="44"/>
      <c r="BL261" s="44"/>
      <c r="BM261" s="44"/>
      <c r="BN261" s="44"/>
      <c r="BO261" s="44"/>
      <c r="BP261" s="44"/>
      <c r="BQ261" s="44"/>
      <c r="BR261" s="44"/>
      <c r="BS261" s="44"/>
      <c r="BT261" s="44"/>
      <c r="BU261" s="44"/>
      <c r="BV261" s="44"/>
      <c r="BW261" s="44"/>
      <c r="BX261" s="44"/>
      <c r="BY261" s="44"/>
      <c r="BZ261" s="44"/>
      <c r="CA261" s="44"/>
      <c r="CB261" s="44"/>
    </row>
    <row r="262" spans="1:80" ht="16.5" customHeight="1" x14ac:dyDescent="0.4">
      <c r="A262" s="47"/>
      <c r="B262" s="47"/>
      <c r="C262" s="104"/>
      <c r="D262" s="110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</row>
    <row r="263" spans="1:80" ht="16.8" x14ac:dyDescent="0.3">
      <c r="A263" s="125"/>
      <c r="B263" s="125"/>
      <c r="C263" s="179" t="s">
        <v>138</v>
      </c>
      <c r="D263" s="112"/>
      <c r="E263" s="111"/>
      <c r="F263" s="224">
        <f>F248</f>
        <v>42369</v>
      </c>
      <c r="G263" s="224">
        <f t="shared" ref="G263:AM263" si="293">G248</f>
        <v>42735</v>
      </c>
      <c r="H263" s="224">
        <f t="shared" si="293"/>
        <v>43100</v>
      </c>
      <c r="I263" s="224">
        <f t="shared" si="293"/>
        <v>43465</v>
      </c>
      <c r="J263" s="224">
        <f t="shared" si="293"/>
        <v>43830</v>
      </c>
      <c r="K263" s="224">
        <f t="shared" si="293"/>
        <v>44196</v>
      </c>
      <c r="L263" s="224">
        <f t="shared" si="293"/>
        <v>44561</v>
      </c>
      <c r="M263" s="224">
        <f t="shared" si="293"/>
        <v>44926</v>
      </c>
      <c r="N263" s="224">
        <f t="shared" si="293"/>
        <v>45291</v>
      </c>
      <c r="O263" s="224">
        <f t="shared" si="293"/>
        <v>45657</v>
      </c>
      <c r="P263" s="224">
        <f t="shared" si="293"/>
        <v>46022</v>
      </c>
      <c r="Q263" s="224">
        <f t="shared" si="293"/>
        <v>46387</v>
      </c>
      <c r="R263" s="224">
        <f t="shared" si="293"/>
        <v>46752</v>
      </c>
      <c r="S263" s="224">
        <f t="shared" si="293"/>
        <v>47118</v>
      </c>
      <c r="T263" s="224">
        <f t="shared" si="293"/>
        <v>47483</v>
      </c>
      <c r="U263" s="224">
        <f t="shared" si="293"/>
        <v>47848</v>
      </c>
      <c r="V263" s="224">
        <f t="shared" si="293"/>
        <v>48213</v>
      </c>
      <c r="W263" s="224">
        <f t="shared" si="293"/>
        <v>48579</v>
      </c>
      <c r="X263" s="224">
        <f t="shared" si="293"/>
        <v>48944</v>
      </c>
      <c r="Y263" s="224">
        <f t="shared" si="293"/>
        <v>49309</v>
      </c>
      <c r="Z263" s="224">
        <f t="shared" si="293"/>
        <v>49674</v>
      </c>
      <c r="AA263" s="224">
        <f t="shared" si="293"/>
        <v>50040</v>
      </c>
      <c r="AB263" s="224">
        <f t="shared" si="293"/>
        <v>50405</v>
      </c>
      <c r="AC263" s="224">
        <f t="shared" si="293"/>
        <v>50770</v>
      </c>
      <c r="AD263" s="224">
        <f t="shared" si="293"/>
        <v>51135</v>
      </c>
      <c r="AE263" s="224">
        <f t="shared" si="293"/>
        <v>51501</v>
      </c>
      <c r="AF263" s="224">
        <f t="shared" si="293"/>
        <v>51866</v>
      </c>
      <c r="AG263" s="224">
        <f t="shared" si="293"/>
        <v>52231</v>
      </c>
      <c r="AH263" s="224">
        <f t="shared" si="293"/>
        <v>52596</v>
      </c>
      <c r="AI263" s="224">
        <f t="shared" si="293"/>
        <v>52962</v>
      </c>
      <c r="AJ263" s="224">
        <f t="shared" si="293"/>
        <v>53327</v>
      </c>
      <c r="AK263" s="224">
        <f t="shared" si="293"/>
        <v>53692</v>
      </c>
      <c r="AL263" s="224">
        <f t="shared" si="293"/>
        <v>54057</v>
      </c>
      <c r="AM263" s="224">
        <f t="shared" si="293"/>
        <v>54423</v>
      </c>
    </row>
    <row r="264" spans="1:80" x14ac:dyDescent="0.3">
      <c r="A264" s="47"/>
      <c r="B264" s="47"/>
      <c r="C264" s="2" t="str">
        <f>C218</f>
        <v>Equity: Funding</v>
      </c>
      <c r="D264" s="156" t="s">
        <v>214</v>
      </c>
      <c r="E264" s="164">
        <f>SUM(F264:AM264)</f>
        <v>-1536.9118826591916</v>
      </c>
      <c r="F264" s="171">
        <f t="shared" ref="F264:AM264" si="294">-F218</f>
        <v>-75.240142025132627</v>
      </c>
      <c r="G264" s="171">
        <f t="shared" si="294"/>
        <v>-310.34749345082923</v>
      </c>
      <c r="H264" s="171">
        <f t="shared" si="294"/>
        <v>-818.13900120962467</v>
      </c>
      <c r="I264" s="171">
        <f t="shared" si="294"/>
        <v>-333.18524597360505</v>
      </c>
      <c r="J264" s="171">
        <f t="shared" si="294"/>
        <v>0</v>
      </c>
      <c r="K264" s="171">
        <f t="shared" si="294"/>
        <v>0</v>
      </c>
      <c r="L264" s="171">
        <f t="shared" si="294"/>
        <v>0</v>
      </c>
      <c r="M264" s="171">
        <f t="shared" si="294"/>
        <v>0</v>
      </c>
      <c r="N264" s="171">
        <f t="shared" si="294"/>
        <v>0</v>
      </c>
      <c r="O264" s="171">
        <f t="shared" si="294"/>
        <v>0</v>
      </c>
      <c r="P264" s="171">
        <f t="shared" si="294"/>
        <v>0</v>
      </c>
      <c r="Q264" s="171">
        <f t="shared" si="294"/>
        <v>0</v>
      </c>
      <c r="R264" s="171">
        <f t="shared" si="294"/>
        <v>0</v>
      </c>
      <c r="S264" s="171">
        <f t="shared" si="294"/>
        <v>0</v>
      </c>
      <c r="T264" s="171">
        <f t="shared" si="294"/>
        <v>0</v>
      </c>
      <c r="U264" s="171">
        <f t="shared" si="294"/>
        <v>0</v>
      </c>
      <c r="V264" s="171">
        <f t="shared" si="294"/>
        <v>0</v>
      </c>
      <c r="W264" s="171">
        <f t="shared" si="294"/>
        <v>0</v>
      </c>
      <c r="X264" s="171">
        <f t="shared" si="294"/>
        <v>0</v>
      </c>
      <c r="Y264" s="171">
        <f t="shared" si="294"/>
        <v>0</v>
      </c>
      <c r="Z264" s="171">
        <f t="shared" si="294"/>
        <v>0</v>
      </c>
      <c r="AA264" s="171">
        <f t="shared" si="294"/>
        <v>0</v>
      </c>
      <c r="AB264" s="171">
        <f t="shared" si="294"/>
        <v>0</v>
      </c>
      <c r="AC264" s="171">
        <f t="shared" si="294"/>
        <v>0</v>
      </c>
      <c r="AD264" s="171">
        <f t="shared" si="294"/>
        <v>0</v>
      </c>
      <c r="AE264" s="171">
        <f t="shared" si="294"/>
        <v>0</v>
      </c>
      <c r="AF264" s="171">
        <f t="shared" si="294"/>
        <v>0</v>
      </c>
      <c r="AG264" s="171">
        <f t="shared" si="294"/>
        <v>0</v>
      </c>
      <c r="AH264" s="171">
        <f t="shared" si="294"/>
        <v>0</v>
      </c>
      <c r="AI264" s="171">
        <f t="shared" si="294"/>
        <v>0</v>
      </c>
      <c r="AJ264" s="171">
        <f t="shared" si="294"/>
        <v>0</v>
      </c>
      <c r="AK264" s="171">
        <f t="shared" si="294"/>
        <v>0</v>
      </c>
      <c r="AL264" s="171">
        <f t="shared" si="294"/>
        <v>0</v>
      </c>
      <c r="AM264" s="171">
        <f t="shared" si="294"/>
        <v>0</v>
      </c>
    </row>
    <row r="265" spans="1:80" x14ac:dyDescent="0.3">
      <c r="A265" s="47"/>
      <c r="B265" s="47"/>
      <c r="C265" s="2" t="s">
        <v>180</v>
      </c>
      <c r="D265" s="156" t="s">
        <v>214</v>
      </c>
      <c r="E265" s="164">
        <f>SUM(F265:AM265)</f>
        <v>16710890.006302441</v>
      </c>
      <c r="F265" s="171">
        <f t="shared" ref="F265:AM265" si="295">-F227</f>
        <v>0</v>
      </c>
      <c r="G265" s="171">
        <f t="shared" si="295"/>
        <v>0</v>
      </c>
      <c r="H265" s="171">
        <f t="shared" si="295"/>
        <v>0</v>
      </c>
      <c r="I265" s="171">
        <f t="shared" si="295"/>
        <v>0</v>
      </c>
      <c r="J265" s="171">
        <f t="shared" si="295"/>
        <v>0</v>
      </c>
      <c r="K265" s="171">
        <f t="shared" si="295"/>
        <v>0</v>
      </c>
      <c r="L265" s="171">
        <f t="shared" si="295"/>
        <v>0</v>
      </c>
      <c r="M265" s="171">
        <f t="shared" si="295"/>
        <v>0</v>
      </c>
      <c r="N265" s="171">
        <f t="shared" si="295"/>
        <v>0</v>
      </c>
      <c r="O265" s="171">
        <f t="shared" si="295"/>
        <v>0</v>
      </c>
      <c r="P265" s="171">
        <f t="shared" si="295"/>
        <v>0</v>
      </c>
      <c r="Q265" s="171">
        <f t="shared" si="295"/>
        <v>0</v>
      </c>
      <c r="R265" s="171">
        <f t="shared" si="295"/>
        <v>0</v>
      </c>
      <c r="S265" s="171">
        <f t="shared" si="295"/>
        <v>0</v>
      </c>
      <c r="T265" s="171">
        <f t="shared" si="295"/>
        <v>0</v>
      </c>
      <c r="U265" s="171">
        <f t="shared" si="295"/>
        <v>0</v>
      </c>
      <c r="V265" s="171">
        <f t="shared" si="295"/>
        <v>0</v>
      </c>
      <c r="W265" s="171">
        <f t="shared" si="295"/>
        <v>0</v>
      </c>
      <c r="X265" s="171">
        <f t="shared" si="295"/>
        <v>0</v>
      </c>
      <c r="Y265" s="171">
        <f t="shared" si="295"/>
        <v>0</v>
      </c>
      <c r="Z265" s="171">
        <f t="shared" si="295"/>
        <v>0</v>
      </c>
      <c r="AA265" s="171">
        <f t="shared" si="295"/>
        <v>0</v>
      </c>
      <c r="AB265" s="171">
        <f t="shared" si="295"/>
        <v>0</v>
      </c>
      <c r="AC265" s="171">
        <f t="shared" si="295"/>
        <v>0</v>
      </c>
      <c r="AD265" s="171">
        <f t="shared" si="295"/>
        <v>0</v>
      </c>
      <c r="AE265" s="171">
        <f t="shared" si="295"/>
        <v>0</v>
      </c>
      <c r="AF265" s="171">
        <f t="shared" si="295"/>
        <v>0</v>
      </c>
      <c r="AG265" s="171">
        <f t="shared" si="295"/>
        <v>0</v>
      </c>
      <c r="AH265" s="171">
        <f t="shared" si="295"/>
        <v>0</v>
      </c>
      <c r="AI265" s="171">
        <f t="shared" si="295"/>
        <v>0</v>
      </c>
      <c r="AJ265" s="171">
        <f t="shared" si="295"/>
        <v>5590364.4711981155</v>
      </c>
      <c r="AK265" s="171">
        <f t="shared" si="295"/>
        <v>5405058.636530133</v>
      </c>
      <c r="AL265" s="171">
        <f t="shared" si="295"/>
        <v>5715466.8985741921</v>
      </c>
      <c r="AM265" s="171">
        <f t="shared" si="295"/>
        <v>0</v>
      </c>
    </row>
    <row r="266" spans="1:80" x14ac:dyDescent="0.3">
      <c r="A266" s="47"/>
      <c r="B266" s="47"/>
      <c r="C266" s="194" t="s">
        <v>234</v>
      </c>
      <c r="D266" s="156" t="s">
        <v>214</v>
      </c>
      <c r="E266" s="164">
        <f>SUM(F266:AM266)</f>
        <v>68475931.283976167</v>
      </c>
      <c r="F266" s="171">
        <f t="shared" ref="F266:AM266" si="296">-F234</f>
        <v>0</v>
      </c>
      <c r="G266" s="171">
        <f t="shared" si="296"/>
        <v>0</v>
      </c>
      <c r="H266" s="171">
        <f t="shared" si="296"/>
        <v>0</v>
      </c>
      <c r="I266" s="171">
        <f t="shared" si="296"/>
        <v>0</v>
      </c>
      <c r="J266" s="171">
        <f t="shared" si="296"/>
        <v>0</v>
      </c>
      <c r="K266" s="171">
        <f t="shared" si="296"/>
        <v>0</v>
      </c>
      <c r="L266" s="171">
        <f t="shared" si="296"/>
        <v>0</v>
      </c>
      <c r="M266" s="171">
        <f t="shared" si="296"/>
        <v>0</v>
      </c>
      <c r="N266" s="171">
        <f t="shared" si="296"/>
        <v>0</v>
      </c>
      <c r="O266" s="171">
        <f t="shared" si="296"/>
        <v>0</v>
      </c>
      <c r="P266" s="171">
        <f t="shared" si="296"/>
        <v>0</v>
      </c>
      <c r="Q266" s="171">
        <f t="shared" si="296"/>
        <v>0</v>
      </c>
      <c r="R266" s="171">
        <f t="shared" si="296"/>
        <v>0</v>
      </c>
      <c r="S266" s="171">
        <f t="shared" si="296"/>
        <v>0</v>
      </c>
      <c r="T266" s="171">
        <f t="shared" si="296"/>
        <v>0</v>
      </c>
      <c r="U266" s="171">
        <f t="shared" si="296"/>
        <v>0</v>
      </c>
      <c r="V266" s="171">
        <f t="shared" si="296"/>
        <v>0</v>
      </c>
      <c r="W266" s="171">
        <f t="shared" si="296"/>
        <v>0</v>
      </c>
      <c r="X266" s="171">
        <f t="shared" si="296"/>
        <v>0</v>
      </c>
      <c r="Y266" s="171">
        <f t="shared" si="296"/>
        <v>0</v>
      </c>
      <c r="Z266" s="171">
        <f t="shared" si="296"/>
        <v>0</v>
      </c>
      <c r="AA266" s="171">
        <f t="shared" si="296"/>
        <v>0</v>
      </c>
      <c r="AB266" s="171">
        <f t="shared" si="296"/>
        <v>0</v>
      </c>
      <c r="AC266" s="171">
        <f t="shared" si="296"/>
        <v>0</v>
      </c>
      <c r="AD266" s="171">
        <f t="shared" si="296"/>
        <v>0</v>
      </c>
      <c r="AE266" s="171">
        <f t="shared" si="296"/>
        <v>0</v>
      </c>
      <c r="AF266" s="171">
        <f t="shared" si="296"/>
        <v>0</v>
      </c>
      <c r="AG266" s="171">
        <f t="shared" si="296"/>
        <v>0</v>
      </c>
      <c r="AH266" s="171">
        <f t="shared" si="296"/>
        <v>0</v>
      </c>
      <c r="AI266" s="171">
        <f t="shared" si="296"/>
        <v>0</v>
      </c>
      <c r="AJ266" s="171">
        <f t="shared" si="296"/>
        <v>0</v>
      </c>
      <c r="AK266" s="171">
        <f t="shared" si="296"/>
        <v>0</v>
      </c>
      <c r="AL266" s="171">
        <f t="shared" si="296"/>
        <v>0</v>
      </c>
      <c r="AM266" s="171">
        <f t="shared" si="296"/>
        <v>68475931.283976167</v>
      </c>
    </row>
    <row r="267" spans="1:80" x14ac:dyDescent="0.3">
      <c r="A267" s="47"/>
      <c r="B267" s="47"/>
      <c r="C267" s="194" t="s">
        <v>235</v>
      </c>
      <c r="D267" s="156" t="s">
        <v>214</v>
      </c>
      <c r="E267" s="164">
        <f>SUM(F267:AM267)</f>
        <v>0</v>
      </c>
      <c r="F267" s="171">
        <f t="shared" ref="F267:AM267" si="297">-F235</f>
        <v>0</v>
      </c>
      <c r="G267" s="171">
        <f t="shared" si="297"/>
        <v>0</v>
      </c>
      <c r="H267" s="171">
        <f t="shared" si="297"/>
        <v>0</v>
      </c>
      <c r="I267" s="171">
        <f t="shared" si="297"/>
        <v>0</v>
      </c>
      <c r="J267" s="171">
        <f t="shared" si="297"/>
        <v>0</v>
      </c>
      <c r="K267" s="171">
        <f t="shared" si="297"/>
        <v>0</v>
      </c>
      <c r="L267" s="171">
        <f t="shared" si="297"/>
        <v>0</v>
      </c>
      <c r="M267" s="171">
        <f t="shared" si="297"/>
        <v>0</v>
      </c>
      <c r="N267" s="171">
        <f t="shared" si="297"/>
        <v>0</v>
      </c>
      <c r="O267" s="171">
        <f t="shared" si="297"/>
        <v>0</v>
      </c>
      <c r="P267" s="171">
        <f t="shared" si="297"/>
        <v>0</v>
      </c>
      <c r="Q267" s="171">
        <f t="shared" si="297"/>
        <v>0</v>
      </c>
      <c r="R267" s="171">
        <f t="shared" si="297"/>
        <v>0</v>
      </c>
      <c r="S267" s="171">
        <f t="shared" si="297"/>
        <v>0</v>
      </c>
      <c r="T267" s="171">
        <f t="shared" si="297"/>
        <v>0</v>
      </c>
      <c r="U267" s="171">
        <f t="shared" si="297"/>
        <v>0</v>
      </c>
      <c r="V267" s="171">
        <f t="shared" si="297"/>
        <v>0</v>
      </c>
      <c r="W267" s="171">
        <f t="shared" si="297"/>
        <v>0</v>
      </c>
      <c r="X267" s="171">
        <f t="shared" si="297"/>
        <v>0</v>
      </c>
      <c r="Y267" s="171">
        <f t="shared" si="297"/>
        <v>0</v>
      </c>
      <c r="Z267" s="171">
        <f t="shared" si="297"/>
        <v>0</v>
      </c>
      <c r="AA267" s="171">
        <f t="shared" si="297"/>
        <v>0</v>
      </c>
      <c r="AB267" s="171">
        <f t="shared" si="297"/>
        <v>0</v>
      </c>
      <c r="AC267" s="171">
        <f t="shared" si="297"/>
        <v>0</v>
      </c>
      <c r="AD267" s="171">
        <f t="shared" si="297"/>
        <v>0</v>
      </c>
      <c r="AE267" s="171">
        <f t="shared" si="297"/>
        <v>0</v>
      </c>
      <c r="AF267" s="171">
        <f t="shared" si="297"/>
        <v>0</v>
      </c>
      <c r="AG267" s="171">
        <f t="shared" si="297"/>
        <v>0</v>
      </c>
      <c r="AH267" s="171">
        <f t="shared" si="297"/>
        <v>0</v>
      </c>
      <c r="AI267" s="171">
        <f t="shared" si="297"/>
        <v>0</v>
      </c>
      <c r="AJ267" s="171">
        <f t="shared" si="297"/>
        <v>0</v>
      </c>
      <c r="AK267" s="171">
        <f t="shared" si="297"/>
        <v>0</v>
      </c>
      <c r="AL267" s="171">
        <f t="shared" si="297"/>
        <v>0</v>
      </c>
      <c r="AM267" s="171">
        <f t="shared" si="297"/>
        <v>0</v>
      </c>
    </row>
    <row r="268" spans="1:80" x14ac:dyDescent="0.3">
      <c r="A268" s="47"/>
      <c r="B268" s="47"/>
      <c r="C268" s="2" t="s">
        <v>194</v>
      </c>
      <c r="D268" s="156" t="s">
        <v>214</v>
      </c>
      <c r="E268" s="223"/>
      <c r="F268" s="222">
        <f>SUM(F264:F267)</f>
        <v>-75.240142025132627</v>
      </c>
      <c r="G268" s="222">
        <f t="shared" ref="G268:AM268" si="298">SUM(G264:G267)</f>
        <v>-310.34749345082923</v>
      </c>
      <c r="H268" s="222">
        <f t="shared" si="298"/>
        <v>-818.13900120962467</v>
      </c>
      <c r="I268" s="222">
        <f t="shared" si="298"/>
        <v>-333.18524597360505</v>
      </c>
      <c r="J268" s="222">
        <f t="shared" si="298"/>
        <v>0</v>
      </c>
      <c r="K268" s="222">
        <f t="shared" si="298"/>
        <v>0</v>
      </c>
      <c r="L268" s="222">
        <f t="shared" si="298"/>
        <v>0</v>
      </c>
      <c r="M268" s="222">
        <f t="shared" si="298"/>
        <v>0</v>
      </c>
      <c r="N268" s="222">
        <f t="shared" si="298"/>
        <v>0</v>
      </c>
      <c r="O268" s="222">
        <f t="shared" si="298"/>
        <v>0</v>
      </c>
      <c r="P268" s="222">
        <f t="shared" si="298"/>
        <v>0</v>
      </c>
      <c r="Q268" s="222">
        <f t="shared" si="298"/>
        <v>0</v>
      </c>
      <c r="R268" s="222">
        <f t="shared" si="298"/>
        <v>0</v>
      </c>
      <c r="S268" s="222">
        <f t="shared" si="298"/>
        <v>0</v>
      </c>
      <c r="T268" s="222">
        <f t="shared" si="298"/>
        <v>0</v>
      </c>
      <c r="U268" s="222">
        <f t="shared" si="298"/>
        <v>0</v>
      </c>
      <c r="V268" s="222">
        <f t="shared" si="298"/>
        <v>0</v>
      </c>
      <c r="W268" s="222">
        <f t="shared" si="298"/>
        <v>0</v>
      </c>
      <c r="X268" s="222">
        <f t="shared" si="298"/>
        <v>0</v>
      </c>
      <c r="Y268" s="222">
        <f t="shared" si="298"/>
        <v>0</v>
      </c>
      <c r="Z268" s="222">
        <f t="shared" si="298"/>
        <v>0</v>
      </c>
      <c r="AA268" s="222">
        <f t="shared" si="298"/>
        <v>0</v>
      </c>
      <c r="AB268" s="222">
        <f t="shared" si="298"/>
        <v>0</v>
      </c>
      <c r="AC268" s="222">
        <f t="shared" si="298"/>
        <v>0</v>
      </c>
      <c r="AD268" s="222">
        <f t="shared" si="298"/>
        <v>0</v>
      </c>
      <c r="AE268" s="222">
        <f t="shared" si="298"/>
        <v>0</v>
      </c>
      <c r="AF268" s="222">
        <f t="shared" si="298"/>
        <v>0</v>
      </c>
      <c r="AG268" s="222">
        <f t="shared" si="298"/>
        <v>0</v>
      </c>
      <c r="AH268" s="222">
        <f t="shared" si="298"/>
        <v>0</v>
      </c>
      <c r="AI268" s="222">
        <f t="shared" si="298"/>
        <v>0</v>
      </c>
      <c r="AJ268" s="222">
        <f t="shared" si="298"/>
        <v>5590364.4711981155</v>
      </c>
      <c r="AK268" s="222">
        <f t="shared" si="298"/>
        <v>5405058.636530133</v>
      </c>
      <c r="AL268" s="222">
        <f t="shared" si="298"/>
        <v>5715466.8985741921</v>
      </c>
      <c r="AM268" s="222">
        <f t="shared" si="298"/>
        <v>68475931.283976167</v>
      </c>
    </row>
    <row r="269" spans="1:80" x14ac:dyDescent="0.3">
      <c r="A269" s="47"/>
      <c r="B269" s="47"/>
      <c r="C269" s="2"/>
      <c r="D269" s="107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</row>
    <row r="270" spans="1:80" x14ac:dyDescent="0.3">
      <c r="A270" s="47"/>
      <c r="B270" s="47"/>
      <c r="C270" s="2"/>
      <c r="D270" s="107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</row>
    <row r="271" spans="1:80" x14ac:dyDescent="0.3">
      <c r="A271" s="47"/>
      <c r="B271" s="47"/>
      <c r="C271" s="2" t="s">
        <v>148</v>
      </c>
      <c r="D271" s="107" t="s">
        <v>136</v>
      </c>
      <c r="E271" s="306">
        <f>E29</f>
        <v>0.13</v>
      </c>
      <c r="F271" s="30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</row>
    <row r="272" spans="1:80" x14ac:dyDescent="0.3">
      <c r="A272" s="47"/>
      <c r="B272" s="47"/>
      <c r="C272" s="2" t="s">
        <v>195</v>
      </c>
      <c r="D272" s="156" t="s">
        <v>214</v>
      </c>
      <c r="E272" s="434">
        <f>NPV(E271,F268:AM268)</f>
        <v>1408546.758761087</v>
      </c>
      <c r="F272" s="30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</row>
    <row r="273" spans="1:80" x14ac:dyDescent="0.3">
      <c r="A273" s="47"/>
      <c r="B273" s="47"/>
      <c r="C273" s="2"/>
      <c r="D273" s="107"/>
      <c r="E273" s="307"/>
      <c r="F273" s="30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</row>
    <row r="274" spans="1:80" x14ac:dyDescent="0.3">
      <c r="A274" s="47"/>
      <c r="B274" s="47"/>
      <c r="C274" s="2" t="s">
        <v>135</v>
      </c>
      <c r="D274" s="107" t="s">
        <v>136</v>
      </c>
      <c r="E274" s="310">
        <f>IRR(F268:AM268)</f>
        <v>0.42834731616244004</v>
      </c>
      <c r="F274" s="30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</row>
    <row r="275" spans="1:80" x14ac:dyDescent="0.3">
      <c r="A275" s="47"/>
      <c r="B275" s="47"/>
      <c r="C275" s="2" t="s">
        <v>196</v>
      </c>
      <c r="D275" s="156" t="s">
        <v>214</v>
      </c>
      <c r="E275" s="304">
        <f>NPV(E274,F268:AM268)</f>
        <v>2.7786011567023235E-10</v>
      </c>
      <c r="F275" s="308">
        <f>IF(ROUND(E275,3)=0,0,1)</f>
        <v>0</v>
      </c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</row>
    <row r="276" spans="1:80" x14ac:dyDescent="0.3">
      <c r="A276" s="47"/>
      <c r="B276" s="47"/>
      <c r="C276" s="2"/>
      <c r="D276" s="107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</row>
    <row r="277" spans="1:80" ht="15" thickBot="1" x14ac:dyDescent="0.35">
      <c r="A277" s="47"/>
      <c r="B277" s="47"/>
      <c r="D277" s="119"/>
      <c r="E277" s="2"/>
      <c r="F277" s="2"/>
      <c r="G277" s="2"/>
      <c r="H277" s="2"/>
      <c r="I277" s="118"/>
      <c r="J277" s="118"/>
      <c r="K277" s="118"/>
      <c r="L277" s="118"/>
      <c r="M277" s="118"/>
      <c r="N277" s="118"/>
      <c r="O277" s="118"/>
      <c r="P277" s="118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</row>
    <row r="278" spans="1:80" ht="21.6" thickBot="1" x14ac:dyDescent="0.45">
      <c r="A278" s="47"/>
      <c r="B278" s="47"/>
      <c r="C278" s="237" t="s">
        <v>228</v>
      </c>
      <c r="D278" s="238"/>
      <c r="E278" s="239"/>
      <c r="F278" s="239"/>
      <c r="G278" s="239"/>
      <c r="H278" s="239"/>
      <c r="I278" s="239"/>
      <c r="J278" s="239"/>
      <c r="K278" s="239"/>
      <c r="L278" s="239"/>
      <c r="M278" s="239"/>
      <c r="N278" s="239"/>
      <c r="O278" s="239"/>
      <c r="P278" s="239"/>
      <c r="Q278" s="239"/>
      <c r="R278" s="239"/>
      <c r="S278" s="239"/>
      <c r="T278" s="239"/>
      <c r="U278" s="239"/>
      <c r="V278" s="239"/>
      <c r="W278" s="239"/>
      <c r="X278" s="239"/>
      <c r="Y278" s="239"/>
      <c r="Z278" s="239"/>
      <c r="AA278" s="239"/>
      <c r="AB278" s="239"/>
      <c r="AC278" s="239"/>
      <c r="AD278" s="239"/>
      <c r="AE278" s="239"/>
      <c r="AF278" s="239"/>
      <c r="AG278" s="239"/>
      <c r="AH278" s="239"/>
      <c r="AI278" s="239"/>
      <c r="AJ278" s="239"/>
      <c r="AK278" s="239"/>
      <c r="AL278" s="239"/>
      <c r="AM278" s="240"/>
      <c r="AO278" s="44"/>
      <c r="AP278" s="44"/>
      <c r="AQ278" s="44"/>
      <c r="AR278" s="44"/>
      <c r="AS278" s="44"/>
      <c r="AT278" s="44"/>
      <c r="AU278" s="44"/>
      <c r="AV278" s="44"/>
      <c r="AW278" s="44"/>
      <c r="AX278" s="44"/>
      <c r="AY278" s="44"/>
      <c r="AZ278" s="44"/>
      <c r="BA278" s="44"/>
      <c r="BB278" s="44"/>
      <c r="BC278" s="44"/>
      <c r="BD278" s="44"/>
      <c r="BE278" s="44"/>
      <c r="BF278" s="44"/>
      <c r="BG278" s="44"/>
      <c r="BH278" s="44"/>
      <c r="BI278" s="44"/>
      <c r="BJ278" s="44"/>
      <c r="BK278" s="44"/>
      <c r="BL278" s="44"/>
      <c r="BM278" s="44"/>
      <c r="BN278" s="44"/>
      <c r="BO278" s="44"/>
      <c r="BP278" s="44"/>
      <c r="BQ278" s="44"/>
      <c r="BR278" s="44"/>
      <c r="BS278" s="44"/>
      <c r="BT278" s="44"/>
      <c r="BU278" s="44"/>
      <c r="BV278" s="44"/>
      <c r="BW278" s="44"/>
      <c r="BX278" s="44"/>
      <c r="BY278" s="44"/>
      <c r="BZ278" s="44"/>
      <c r="CA278" s="44"/>
      <c r="CB278" s="44"/>
    </row>
    <row r="279" spans="1:80" x14ac:dyDescent="0.3">
      <c r="A279" s="47"/>
      <c r="B279" s="47"/>
      <c r="D279" s="119"/>
      <c r="E279" s="2"/>
      <c r="F279" s="2"/>
      <c r="G279" s="2"/>
      <c r="H279" s="2"/>
      <c r="I279" s="118"/>
      <c r="J279" s="118"/>
      <c r="K279" s="118"/>
      <c r="L279" s="118"/>
      <c r="M279" s="118"/>
      <c r="N279" s="118"/>
      <c r="O279" s="118"/>
      <c r="P279" s="118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</row>
    <row r="280" spans="1:80" ht="21.6" x14ac:dyDescent="0.4">
      <c r="A280" s="47"/>
      <c r="B280" s="47"/>
      <c r="C280" s="106" t="s">
        <v>129</v>
      </c>
      <c r="D280" s="110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</row>
    <row r="281" spans="1:80" ht="16.5" customHeight="1" x14ac:dyDescent="0.4">
      <c r="A281" s="47"/>
      <c r="B281" s="47"/>
      <c r="C281" s="106"/>
      <c r="D281" s="110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</row>
    <row r="282" spans="1:80" x14ac:dyDescent="0.3">
      <c r="A282" s="47"/>
      <c r="B282" s="47"/>
      <c r="C282" t="s">
        <v>197</v>
      </c>
      <c r="D282" s="120" t="s">
        <v>144</v>
      </c>
      <c r="E282" s="2"/>
      <c r="F282" s="99">
        <f t="shared" ref="F282:AM282" si="299">F143+F175</f>
        <v>7.0000000000000007E-2</v>
      </c>
      <c r="G282" s="99">
        <f t="shared" si="299"/>
        <v>7.0000000000000007E-2</v>
      </c>
      <c r="H282" s="99">
        <f t="shared" si="299"/>
        <v>7.0000000000000007E-2</v>
      </c>
      <c r="I282" s="99">
        <f t="shared" si="299"/>
        <v>7.0000000000000007E-2</v>
      </c>
      <c r="J282" s="99">
        <f t="shared" si="299"/>
        <v>7.0000000000000007E-2</v>
      </c>
      <c r="K282" s="99">
        <f t="shared" si="299"/>
        <v>7.0000000000000007E-2</v>
      </c>
      <c r="L282" s="99">
        <f t="shared" si="299"/>
        <v>7.0000000000000007E-2</v>
      </c>
      <c r="M282" s="99">
        <f t="shared" si="299"/>
        <v>7.0000000000000007E-2</v>
      </c>
      <c r="N282" s="99">
        <f t="shared" si="299"/>
        <v>7.0000000000000007E-2</v>
      </c>
      <c r="O282" s="99">
        <f t="shared" si="299"/>
        <v>7.0000000000000007E-2</v>
      </c>
      <c r="P282" s="99">
        <f t="shared" si="299"/>
        <v>7.0000000000000007E-2</v>
      </c>
      <c r="Q282" s="99">
        <f t="shared" si="299"/>
        <v>7.0000000000000007E-2</v>
      </c>
      <c r="R282" s="99">
        <f t="shared" si="299"/>
        <v>7.0000000000000007E-2</v>
      </c>
      <c r="S282" s="99">
        <f t="shared" si="299"/>
        <v>7.0000000000000007E-2</v>
      </c>
      <c r="T282" s="99">
        <f t="shared" si="299"/>
        <v>7.0000000000000007E-2</v>
      </c>
      <c r="U282" s="99">
        <f t="shared" si="299"/>
        <v>7.0000000000000007E-2</v>
      </c>
      <c r="V282" s="99">
        <f t="shared" si="299"/>
        <v>7.0000000000000007E-2</v>
      </c>
      <c r="W282" s="99">
        <f t="shared" si="299"/>
        <v>7.0000000000000007E-2</v>
      </c>
      <c r="X282" s="99">
        <f t="shared" si="299"/>
        <v>7.0000000000000007E-2</v>
      </c>
      <c r="Y282" s="99">
        <f t="shared" si="299"/>
        <v>7.0000000000000007E-2</v>
      </c>
      <c r="Z282" s="99">
        <f t="shared" si="299"/>
        <v>7.0000000000000007E-2</v>
      </c>
      <c r="AA282" s="99">
        <f t="shared" si="299"/>
        <v>7.0000000000000007E-2</v>
      </c>
      <c r="AB282" s="99">
        <f t="shared" si="299"/>
        <v>7.0000000000000007E-2</v>
      </c>
      <c r="AC282" s="99">
        <f t="shared" si="299"/>
        <v>7.0000000000000007E-2</v>
      </c>
      <c r="AD282" s="99">
        <f t="shared" si="299"/>
        <v>7.0000000000000007E-2</v>
      </c>
      <c r="AE282" s="99">
        <f t="shared" si="299"/>
        <v>7.0000000000000007E-2</v>
      </c>
      <c r="AF282" s="99">
        <f t="shared" si="299"/>
        <v>7.0000000000000007E-2</v>
      </c>
      <c r="AG282" s="99">
        <f t="shared" si="299"/>
        <v>7.0000000000000007E-2</v>
      </c>
      <c r="AH282" s="99">
        <f t="shared" si="299"/>
        <v>7.0000000000000007E-2</v>
      </c>
      <c r="AI282" s="99">
        <f t="shared" si="299"/>
        <v>7.0000000000000007E-2</v>
      </c>
      <c r="AJ282" s="99">
        <f t="shared" si="299"/>
        <v>7.0000000000000007E-2</v>
      </c>
      <c r="AK282" s="99">
        <f t="shared" si="299"/>
        <v>7.0000000000000007E-2</v>
      </c>
      <c r="AL282" s="99">
        <f t="shared" si="299"/>
        <v>7.0000000000000007E-2</v>
      </c>
      <c r="AM282" s="99">
        <f t="shared" si="299"/>
        <v>7.0000000000000007E-2</v>
      </c>
    </row>
    <row r="283" spans="1:80" x14ac:dyDescent="0.3">
      <c r="A283" s="47"/>
      <c r="B283" s="47"/>
      <c r="C283" t="s">
        <v>198</v>
      </c>
      <c r="D283" s="120" t="s">
        <v>199</v>
      </c>
      <c r="F283" s="121">
        <f>(1+F282)</f>
        <v>1.07</v>
      </c>
      <c r="G283" s="121">
        <f>(1+G282)</f>
        <v>1.07</v>
      </c>
      <c r="H283" s="121">
        <f>(1+H282)</f>
        <v>1.07</v>
      </c>
      <c r="I283" s="121">
        <f>(1+I282)</f>
        <v>1.07</v>
      </c>
      <c r="J283" s="121">
        <f t="shared" ref="J283:AB283" si="300">(1+J282)</f>
        <v>1.07</v>
      </c>
      <c r="K283" s="121">
        <f t="shared" si="300"/>
        <v>1.07</v>
      </c>
      <c r="L283" s="121">
        <f t="shared" si="300"/>
        <v>1.07</v>
      </c>
      <c r="M283" s="121">
        <f t="shared" si="300"/>
        <v>1.07</v>
      </c>
      <c r="N283" s="121">
        <f t="shared" si="300"/>
        <v>1.07</v>
      </c>
      <c r="O283" s="121">
        <f t="shared" si="300"/>
        <v>1.07</v>
      </c>
      <c r="P283" s="121">
        <f t="shared" si="300"/>
        <v>1.07</v>
      </c>
      <c r="Q283" s="121">
        <f t="shared" si="300"/>
        <v>1.07</v>
      </c>
      <c r="R283" s="121">
        <f t="shared" si="300"/>
        <v>1.07</v>
      </c>
      <c r="S283" s="121">
        <f t="shared" si="300"/>
        <v>1.07</v>
      </c>
      <c r="T283" s="121">
        <f t="shared" si="300"/>
        <v>1.07</v>
      </c>
      <c r="U283" s="121">
        <f t="shared" si="300"/>
        <v>1.07</v>
      </c>
      <c r="V283" s="121">
        <f t="shared" si="300"/>
        <v>1.07</v>
      </c>
      <c r="W283" s="121">
        <f t="shared" si="300"/>
        <v>1.07</v>
      </c>
      <c r="X283" s="121">
        <f t="shared" si="300"/>
        <v>1.07</v>
      </c>
      <c r="Y283" s="121">
        <f t="shared" si="300"/>
        <v>1.07</v>
      </c>
      <c r="Z283" s="121">
        <f t="shared" si="300"/>
        <v>1.07</v>
      </c>
      <c r="AA283" s="121">
        <f t="shared" si="300"/>
        <v>1.07</v>
      </c>
      <c r="AB283" s="121">
        <f t="shared" si="300"/>
        <v>1.07</v>
      </c>
      <c r="AC283" s="121">
        <f t="shared" ref="AC283:AM283" si="301">(1+AC282)</f>
        <v>1.07</v>
      </c>
      <c r="AD283" s="121">
        <f t="shared" si="301"/>
        <v>1.07</v>
      </c>
      <c r="AE283" s="121">
        <f t="shared" si="301"/>
        <v>1.07</v>
      </c>
      <c r="AF283" s="121">
        <f t="shared" si="301"/>
        <v>1.07</v>
      </c>
      <c r="AG283" s="121">
        <f t="shared" si="301"/>
        <v>1.07</v>
      </c>
      <c r="AH283" s="121">
        <f t="shared" si="301"/>
        <v>1.07</v>
      </c>
      <c r="AI283" s="121">
        <f t="shared" si="301"/>
        <v>1.07</v>
      </c>
      <c r="AJ283" s="121">
        <f t="shared" si="301"/>
        <v>1.07</v>
      </c>
      <c r="AK283" s="121">
        <f t="shared" si="301"/>
        <v>1.07</v>
      </c>
      <c r="AL283" s="121">
        <f t="shared" si="301"/>
        <v>1.07</v>
      </c>
      <c r="AM283" s="121">
        <f t="shared" si="301"/>
        <v>1.07</v>
      </c>
    </row>
    <row r="284" spans="1:80" x14ac:dyDescent="0.3">
      <c r="A284" s="47"/>
      <c r="B284" s="47"/>
      <c r="D284" s="120"/>
      <c r="E284" s="24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</row>
    <row r="285" spans="1:80" x14ac:dyDescent="0.3">
      <c r="A285" s="47"/>
      <c r="B285" s="47"/>
      <c r="D285" s="243" t="s">
        <v>157</v>
      </c>
      <c r="E285" s="243" t="s">
        <v>158</v>
      </c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</row>
    <row r="286" spans="1:80" x14ac:dyDescent="0.3">
      <c r="A286" s="47"/>
      <c r="B286" s="47"/>
      <c r="C286" s="2" t="s">
        <v>174</v>
      </c>
      <c r="D286" s="244">
        <f>E38</f>
        <v>43830</v>
      </c>
      <c r="E286" s="244">
        <f>E40</f>
        <v>49309</v>
      </c>
      <c r="F286" s="242">
        <f t="shared" ref="F286:AM286" si="302">F98</f>
        <v>0</v>
      </c>
      <c r="G286" s="108">
        <f t="shared" si="302"/>
        <v>0</v>
      </c>
      <c r="H286" s="108">
        <f t="shared" si="302"/>
        <v>0</v>
      </c>
      <c r="I286" s="108">
        <f t="shared" si="302"/>
        <v>0</v>
      </c>
      <c r="J286" s="108">
        <f t="shared" si="302"/>
        <v>1</v>
      </c>
      <c r="K286" s="108">
        <f t="shared" si="302"/>
        <v>1</v>
      </c>
      <c r="L286" s="108">
        <f t="shared" si="302"/>
        <v>1</v>
      </c>
      <c r="M286" s="108">
        <f t="shared" si="302"/>
        <v>1</v>
      </c>
      <c r="N286" s="108">
        <f t="shared" si="302"/>
        <v>1</v>
      </c>
      <c r="O286" s="108">
        <f t="shared" si="302"/>
        <v>1</v>
      </c>
      <c r="P286" s="108">
        <f t="shared" si="302"/>
        <v>1</v>
      </c>
      <c r="Q286" s="108">
        <f t="shared" si="302"/>
        <v>1</v>
      </c>
      <c r="R286" s="108">
        <f t="shared" si="302"/>
        <v>1</v>
      </c>
      <c r="S286" s="108">
        <f t="shared" si="302"/>
        <v>1</v>
      </c>
      <c r="T286" s="108">
        <f t="shared" si="302"/>
        <v>1</v>
      </c>
      <c r="U286" s="108">
        <f t="shared" si="302"/>
        <v>1</v>
      </c>
      <c r="V286" s="108">
        <f t="shared" si="302"/>
        <v>1</v>
      </c>
      <c r="W286" s="108">
        <f t="shared" si="302"/>
        <v>1</v>
      </c>
      <c r="X286" s="108">
        <f t="shared" si="302"/>
        <v>1</v>
      </c>
      <c r="Y286" s="108">
        <f t="shared" si="302"/>
        <v>1</v>
      </c>
      <c r="Z286" s="108">
        <f t="shared" si="302"/>
        <v>0</v>
      </c>
      <c r="AA286" s="108">
        <f t="shared" si="302"/>
        <v>0</v>
      </c>
      <c r="AB286" s="108">
        <f t="shared" si="302"/>
        <v>0</v>
      </c>
      <c r="AC286" s="108">
        <f t="shared" si="302"/>
        <v>0</v>
      </c>
      <c r="AD286" s="108">
        <f t="shared" si="302"/>
        <v>0</v>
      </c>
      <c r="AE286" s="108">
        <f t="shared" si="302"/>
        <v>0</v>
      </c>
      <c r="AF286" s="108">
        <f t="shared" si="302"/>
        <v>0</v>
      </c>
      <c r="AG286" s="108">
        <f t="shared" si="302"/>
        <v>0</v>
      </c>
      <c r="AH286" s="108">
        <f t="shared" si="302"/>
        <v>0</v>
      </c>
      <c r="AI286" s="108">
        <f t="shared" si="302"/>
        <v>0</v>
      </c>
      <c r="AJ286" s="108">
        <f t="shared" si="302"/>
        <v>0</v>
      </c>
      <c r="AK286" s="108">
        <f t="shared" si="302"/>
        <v>0</v>
      </c>
      <c r="AL286" s="108">
        <f t="shared" si="302"/>
        <v>0</v>
      </c>
      <c r="AM286" s="108">
        <f t="shared" si="302"/>
        <v>0</v>
      </c>
    </row>
    <row r="287" spans="1:80" x14ac:dyDescent="0.3">
      <c r="A287" s="47"/>
      <c r="B287" s="47"/>
      <c r="C287" s="2"/>
      <c r="D287" s="107"/>
      <c r="E287" s="153"/>
      <c r="F287" s="154"/>
      <c r="G287" s="154"/>
      <c r="H287" s="154"/>
      <c r="I287" s="154"/>
      <c r="J287" s="154"/>
      <c r="K287" s="154"/>
      <c r="L287" s="154"/>
      <c r="M287" s="154"/>
      <c r="N287" s="154"/>
      <c r="O287" s="154"/>
      <c r="P287" s="154"/>
      <c r="Q287" s="154"/>
      <c r="R287" s="154"/>
      <c r="S287" s="154"/>
      <c r="T287" s="154"/>
      <c r="U287" s="154"/>
      <c r="V287" s="154"/>
      <c r="W287" s="154"/>
      <c r="X287" s="154"/>
      <c r="Y287" s="154"/>
      <c r="Z287" s="154"/>
      <c r="AA287" s="154"/>
      <c r="AB287" s="154"/>
      <c r="AC287" s="154"/>
      <c r="AD287" s="154"/>
      <c r="AE287" s="154"/>
      <c r="AF287" s="154"/>
      <c r="AG287" s="154"/>
      <c r="AH287" s="154"/>
      <c r="AI287" s="154"/>
      <c r="AJ287" s="154"/>
      <c r="AK287" s="154"/>
      <c r="AL287" s="154"/>
      <c r="AM287" s="154"/>
    </row>
    <row r="288" spans="1:80" x14ac:dyDescent="0.3">
      <c r="A288" s="47"/>
      <c r="B288" s="47"/>
      <c r="C288" s="122" t="s">
        <v>200</v>
      </c>
      <c r="D288" s="120"/>
      <c r="E288" s="2"/>
      <c r="F288" s="2"/>
      <c r="G288" s="2"/>
      <c r="H288" s="2"/>
      <c r="I288" s="118"/>
      <c r="J288" s="118"/>
      <c r="K288" s="118"/>
      <c r="L288" s="118"/>
      <c r="M288" s="118"/>
      <c r="N288" s="118"/>
      <c r="O288" s="118"/>
      <c r="P288" s="118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</row>
    <row r="289" spans="1:39" x14ac:dyDescent="0.3">
      <c r="A289" s="47"/>
      <c r="B289" s="47"/>
      <c r="C289" t="s">
        <v>219</v>
      </c>
      <c r="D289" s="159" t="s">
        <v>214</v>
      </c>
      <c r="E289" s="164">
        <f>SUM(F289:AA289)</f>
        <v>46661268.458868496</v>
      </c>
      <c r="F289" s="171">
        <f>F221</f>
        <v>0</v>
      </c>
      <c r="G289" s="171">
        <f t="shared" ref="G289:AM289" si="303">G221</f>
        <v>0</v>
      </c>
      <c r="H289" s="171">
        <f t="shared" si="303"/>
        <v>0</v>
      </c>
      <c r="I289" s="171">
        <f t="shared" si="303"/>
        <v>0</v>
      </c>
      <c r="J289" s="171">
        <f>J221</f>
        <v>29.548965931215207</v>
      </c>
      <c r="K289" s="171">
        <f t="shared" si="303"/>
        <v>2176257.761353544</v>
      </c>
      <c r="L289" s="171">
        <f t="shared" si="303"/>
        <v>1381816.4650072576</v>
      </c>
      <c r="M289" s="171">
        <f t="shared" si="303"/>
        <v>1374752.0699918841</v>
      </c>
      <c r="N289" s="171">
        <f t="shared" si="303"/>
        <v>29.550835773348808</v>
      </c>
      <c r="O289" s="171">
        <f t="shared" si="303"/>
        <v>1596156.6820835602</v>
      </c>
      <c r="P289" s="171">
        <f t="shared" si="303"/>
        <v>1842266.3934976407</v>
      </c>
      <c r="Q289" s="171">
        <f t="shared" si="303"/>
        <v>1831599.0859525378</v>
      </c>
      <c r="R289" s="171">
        <f t="shared" si="303"/>
        <v>2093921.5214880076</v>
      </c>
      <c r="S289" s="171">
        <f t="shared" si="303"/>
        <v>2785836.1064765994</v>
      </c>
      <c r="T289" s="171">
        <f t="shared" si="303"/>
        <v>3525474.6900881641</v>
      </c>
      <c r="U289" s="171">
        <f t="shared" si="303"/>
        <v>2348567.0227132556</v>
      </c>
      <c r="V289" s="171">
        <f t="shared" si="303"/>
        <v>2693317.8624433707</v>
      </c>
      <c r="W289" s="171">
        <f t="shared" si="303"/>
        <v>2722852.2838168251</v>
      </c>
      <c r="X289" s="171">
        <f t="shared" si="303"/>
        <v>3236602.8410501461</v>
      </c>
      <c r="Y289" s="171">
        <f t="shared" si="303"/>
        <v>9893572.2178904787</v>
      </c>
      <c r="Z289" s="171">
        <f t="shared" si="303"/>
        <v>3520631.5598675143</v>
      </c>
      <c r="AA289" s="171">
        <f t="shared" si="303"/>
        <v>3637584.7953460068</v>
      </c>
      <c r="AB289" s="171">
        <f t="shared" si="303"/>
        <v>4158838.7678026329</v>
      </c>
      <c r="AC289" s="171">
        <f t="shared" si="303"/>
        <v>-6110524.2474990692</v>
      </c>
      <c r="AD289" s="171">
        <f t="shared" si="303"/>
        <v>4842077.607761587</v>
      </c>
      <c r="AE289" s="171">
        <f t="shared" si="303"/>
        <v>4965787.1897664117</v>
      </c>
      <c r="AF289" s="171">
        <f t="shared" si="303"/>
        <v>5277676.8111405056</v>
      </c>
      <c r="AG289" s="171">
        <f t="shared" si="303"/>
        <v>5109625.6426071143</v>
      </c>
      <c r="AH289" s="171">
        <f t="shared" si="303"/>
        <v>-5983115.3653398016</v>
      </c>
      <c r="AI289" s="171">
        <f t="shared" si="303"/>
        <v>5256074.647391797</v>
      </c>
      <c r="AJ289" s="171">
        <f t="shared" si="303"/>
        <v>5590364.4711981155</v>
      </c>
      <c r="AK289" s="171">
        <f t="shared" si="303"/>
        <v>5405058.636530133</v>
      </c>
      <c r="AL289" s="171">
        <f t="shared" si="303"/>
        <v>5715466.8985741921</v>
      </c>
      <c r="AM289" s="171">
        <f t="shared" si="303"/>
        <v>-6986472.0263135638</v>
      </c>
    </row>
    <row r="290" spans="1:39" x14ac:dyDescent="0.3">
      <c r="A290" s="47"/>
      <c r="B290" s="47"/>
      <c r="C290" t="s">
        <v>220</v>
      </c>
      <c r="D290" s="159" t="s">
        <v>214</v>
      </c>
      <c r="E290" s="164">
        <f>SUM(F290:AA290)</f>
        <v>39503052.103654973</v>
      </c>
      <c r="F290" s="171">
        <f>F289*F286</f>
        <v>0</v>
      </c>
      <c r="G290" s="171">
        <f t="shared" ref="G290:AB290" si="304">G289*G286</f>
        <v>0</v>
      </c>
      <c r="H290" s="171">
        <f t="shared" si="304"/>
        <v>0</v>
      </c>
      <c r="I290" s="171">
        <f t="shared" si="304"/>
        <v>0</v>
      </c>
      <c r="J290" s="171">
        <f t="shared" si="304"/>
        <v>29.548965931215207</v>
      </c>
      <c r="K290" s="171">
        <f t="shared" si="304"/>
        <v>2176257.761353544</v>
      </c>
      <c r="L290" s="171">
        <f t="shared" si="304"/>
        <v>1381816.4650072576</v>
      </c>
      <c r="M290" s="171">
        <f t="shared" si="304"/>
        <v>1374752.0699918841</v>
      </c>
      <c r="N290" s="171">
        <f t="shared" si="304"/>
        <v>29.550835773348808</v>
      </c>
      <c r="O290" s="171">
        <f t="shared" si="304"/>
        <v>1596156.6820835602</v>
      </c>
      <c r="P290" s="171">
        <f t="shared" si="304"/>
        <v>1842266.3934976407</v>
      </c>
      <c r="Q290" s="171">
        <f t="shared" si="304"/>
        <v>1831599.0859525378</v>
      </c>
      <c r="R290" s="171">
        <f t="shared" si="304"/>
        <v>2093921.5214880076</v>
      </c>
      <c r="S290" s="171">
        <f t="shared" si="304"/>
        <v>2785836.1064765994</v>
      </c>
      <c r="T290" s="171">
        <f t="shared" si="304"/>
        <v>3525474.6900881641</v>
      </c>
      <c r="U290" s="171">
        <f t="shared" si="304"/>
        <v>2348567.0227132556</v>
      </c>
      <c r="V290" s="171">
        <f t="shared" si="304"/>
        <v>2693317.8624433707</v>
      </c>
      <c r="W290" s="171">
        <f t="shared" si="304"/>
        <v>2722852.2838168251</v>
      </c>
      <c r="X290" s="171">
        <f t="shared" si="304"/>
        <v>3236602.8410501461</v>
      </c>
      <c r="Y290" s="171">
        <f t="shared" si="304"/>
        <v>9893572.2178904787</v>
      </c>
      <c r="Z290" s="171">
        <f t="shared" si="304"/>
        <v>0</v>
      </c>
      <c r="AA290" s="171">
        <f t="shared" si="304"/>
        <v>0</v>
      </c>
      <c r="AB290" s="171">
        <f t="shared" si="304"/>
        <v>0</v>
      </c>
      <c r="AC290" s="171">
        <f t="shared" ref="AC290:AM290" si="305">AC289*AC286</f>
        <v>0</v>
      </c>
      <c r="AD290" s="171">
        <f t="shared" si="305"/>
        <v>0</v>
      </c>
      <c r="AE290" s="171">
        <f t="shared" si="305"/>
        <v>0</v>
      </c>
      <c r="AF290" s="171">
        <f t="shared" si="305"/>
        <v>0</v>
      </c>
      <c r="AG290" s="171">
        <f t="shared" si="305"/>
        <v>0</v>
      </c>
      <c r="AH290" s="171">
        <f t="shared" si="305"/>
        <v>0</v>
      </c>
      <c r="AI290" s="171">
        <f t="shared" si="305"/>
        <v>0</v>
      </c>
      <c r="AJ290" s="171">
        <f t="shared" si="305"/>
        <v>0</v>
      </c>
      <c r="AK290" s="171">
        <f t="shared" si="305"/>
        <v>0</v>
      </c>
      <c r="AL290" s="171">
        <f t="shared" si="305"/>
        <v>0</v>
      </c>
      <c r="AM290" s="171">
        <f t="shared" si="305"/>
        <v>0</v>
      </c>
    </row>
    <row r="291" spans="1:39" x14ac:dyDescent="0.3">
      <c r="A291" s="47"/>
      <c r="B291" s="47"/>
      <c r="C291" t="s">
        <v>221</v>
      </c>
      <c r="D291" s="159" t="s">
        <v>214</v>
      </c>
      <c r="F291" s="171">
        <f t="shared" ref="F291:AL291" si="306">(G291+F290)/F283*F286</f>
        <v>0</v>
      </c>
      <c r="G291" s="171">
        <f t="shared" si="306"/>
        <v>0</v>
      </c>
      <c r="H291" s="171">
        <f t="shared" si="306"/>
        <v>0</v>
      </c>
      <c r="I291" s="171">
        <f t="shared" si="306"/>
        <v>0</v>
      </c>
      <c r="J291" s="171">
        <f t="shared" si="306"/>
        <v>19325348.073269308</v>
      </c>
      <c r="K291" s="171">
        <f t="shared" si="306"/>
        <v>20678092.889432229</v>
      </c>
      <c r="L291" s="171">
        <f t="shared" si="306"/>
        <v>19949301.630338941</v>
      </c>
      <c r="M291" s="171">
        <f t="shared" si="306"/>
        <v>19963936.279455412</v>
      </c>
      <c r="N291" s="171">
        <f t="shared" si="306"/>
        <v>19986659.749025408</v>
      </c>
      <c r="O291" s="171">
        <f t="shared" si="306"/>
        <v>21385696.380621415</v>
      </c>
      <c r="P291" s="171">
        <f t="shared" si="306"/>
        <v>21286538.445181355</v>
      </c>
      <c r="Q291" s="171">
        <f t="shared" si="306"/>
        <v>20934329.742846407</v>
      </c>
      <c r="R291" s="171">
        <f t="shared" si="306"/>
        <v>20568133.738893118</v>
      </c>
      <c r="S291" s="171">
        <f t="shared" si="306"/>
        <v>19913981.579127628</v>
      </c>
      <c r="T291" s="171">
        <f t="shared" si="306"/>
        <v>18522124.183189966</v>
      </c>
      <c r="U291" s="171">
        <f t="shared" si="306"/>
        <v>16293198.185925098</v>
      </c>
      <c r="V291" s="171">
        <f t="shared" si="306"/>
        <v>15085155.036226599</v>
      </c>
      <c r="W291" s="171">
        <f t="shared" si="306"/>
        <v>13447798.02631909</v>
      </c>
      <c r="X291" s="171">
        <f t="shared" si="306"/>
        <v>11666291.604344603</v>
      </c>
      <c r="Y291" s="171">
        <f t="shared" si="306"/>
        <v>9246329.1755985785</v>
      </c>
      <c r="Z291" s="171">
        <f t="shared" si="306"/>
        <v>0</v>
      </c>
      <c r="AA291" s="171">
        <f t="shared" si="306"/>
        <v>0</v>
      </c>
      <c r="AB291" s="171">
        <f t="shared" si="306"/>
        <v>0</v>
      </c>
      <c r="AC291" s="171">
        <f t="shared" si="306"/>
        <v>0</v>
      </c>
      <c r="AD291" s="171">
        <f t="shared" si="306"/>
        <v>0</v>
      </c>
      <c r="AE291" s="171">
        <f t="shared" si="306"/>
        <v>0</v>
      </c>
      <c r="AF291" s="171">
        <f t="shared" si="306"/>
        <v>0</v>
      </c>
      <c r="AG291" s="171">
        <f t="shared" si="306"/>
        <v>0</v>
      </c>
      <c r="AH291" s="171">
        <f t="shared" si="306"/>
        <v>0</v>
      </c>
      <c r="AI291" s="171">
        <f t="shared" si="306"/>
        <v>0</v>
      </c>
      <c r="AJ291" s="171">
        <f t="shared" si="306"/>
        <v>0</v>
      </c>
      <c r="AK291" s="171">
        <f t="shared" si="306"/>
        <v>0</v>
      </c>
      <c r="AL291" s="171">
        <f t="shared" si="306"/>
        <v>0</v>
      </c>
      <c r="AM291" s="171">
        <f>(AN291+AM290)/AM283*AM286</f>
        <v>0</v>
      </c>
    </row>
    <row r="292" spans="1:39" x14ac:dyDescent="0.3">
      <c r="A292" s="47"/>
      <c r="B292" s="47"/>
      <c r="D292" s="120"/>
      <c r="E292" s="2"/>
      <c r="F292" s="2"/>
      <c r="G292" s="2"/>
      <c r="H292" s="2"/>
      <c r="I292" s="118"/>
      <c r="J292" s="328">
        <f>NPV(0.08,J219:Y219)</f>
        <v>-3200271.0647821496</v>
      </c>
      <c r="K292" s="327" t="b">
        <f>IF(J291=J292,"OK")</f>
        <v>0</v>
      </c>
      <c r="L292" s="11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</row>
    <row r="293" spans="1:39" x14ac:dyDescent="0.3">
      <c r="A293" s="47"/>
      <c r="B293" s="47"/>
      <c r="C293" s="122" t="s">
        <v>201</v>
      </c>
      <c r="D293" s="120"/>
      <c r="E293" s="2"/>
      <c r="F293" s="2"/>
      <c r="G293" s="2"/>
      <c r="H293" s="2"/>
      <c r="I293" s="118"/>
      <c r="J293" s="118"/>
      <c r="K293" s="118"/>
      <c r="L293" s="118"/>
      <c r="M293" s="118"/>
      <c r="N293" s="118"/>
      <c r="O293" s="118"/>
      <c r="P293" s="118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</row>
    <row r="294" spans="1:39" x14ac:dyDescent="0.3">
      <c r="A294" s="47"/>
      <c r="B294" s="47"/>
      <c r="C294" t="s">
        <v>202</v>
      </c>
      <c r="D294" s="159" t="s">
        <v>214</v>
      </c>
      <c r="E294" s="2"/>
      <c r="F294" s="171">
        <f t="shared" ref="F294:AM294" si="307">F163</f>
        <v>0</v>
      </c>
      <c r="G294" s="171">
        <f t="shared" si="307"/>
        <v>0</v>
      </c>
      <c r="H294" s="171">
        <f t="shared" si="307"/>
        <v>0</v>
      </c>
      <c r="I294" s="171">
        <f t="shared" si="307"/>
        <v>0</v>
      </c>
      <c r="J294" s="171">
        <f t="shared" si="307"/>
        <v>164.19923395965782</v>
      </c>
      <c r="K294" s="171">
        <f t="shared" si="307"/>
        <v>158.31143567141348</v>
      </c>
      <c r="L294" s="171">
        <f t="shared" si="307"/>
        <v>152.02111070595433</v>
      </c>
      <c r="M294" s="171">
        <f t="shared" si="307"/>
        <v>145.27974388277846</v>
      </c>
      <c r="N294" s="171">
        <f t="shared" si="307"/>
        <v>138.06648138198028</v>
      </c>
      <c r="O294" s="171">
        <f t="shared" si="307"/>
        <v>130.34829050612623</v>
      </c>
      <c r="P294" s="171">
        <f t="shared" si="307"/>
        <v>122.09850351639581</v>
      </c>
      <c r="Q294" s="171">
        <f t="shared" si="307"/>
        <v>113.26131874513071</v>
      </c>
      <c r="R294" s="171">
        <f t="shared" si="307"/>
        <v>103.80553103987705</v>
      </c>
      <c r="S294" s="171">
        <f t="shared" si="307"/>
        <v>93.687838195255651</v>
      </c>
      <c r="T294" s="171">
        <f t="shared" si="307"/>
        <v>82.868466920889347</v>
      </c>
      <c r="U294" s="171">
        <f t="shared" si="307"/>
        <v>71.283803312937053</v>
      </c>
      <c r="V294" s="171">
        <f t="shared" si="307"/>
        <v>58.888213252428102</v>
      </c>
      <c r="W294" s="171">
        <f t="shared" si="307"/>
        <v>45.624931887683523</v>
      </c>
      <c r="X294" s="171">
        <f t="shared" si="307"/>
        <v>31.435969953887906</v>
      </c>
      <c r="Y294" s="171">
        <f t="shared" si="307"/>
        <v>16.249511038966208</v>
      </c>
      <c r="Z294" s="171">
        <f t="shared" si="307"/>
        <v>0</v>
      </c>
      <c r="AA294" s="171">
        <f t="shared" si="307"/>
        <v>0</v>
      </c>
      <c r="AB294" s="171">
        <f t="shared" si="307"/>
        <v>0</v>
      </c>
      <c r="AC294" s="171">
        <f t="shared" si="307"/>
        <v>0</v>
      </c>
      <c r="AD294" s="171">
        <f t="shared" si="307"/>
        <v>0</v>
      </c>
      <c r="AE294" s="171">
        <f t="shared" si="307"/>
        <v>0</v>
      </c>
      <c r="AF294" s="171">
        <f t="shared" si="307"/>
        <v>0</v>
      </c>
      <c r="AG294" s="171">
        <f t="shared" si="307"/>
        <v>0</v>
      </c>
      <c r="AH294" s="171">
        <f t="shared" si="307"/>
        <v>0</v>
      </c>
      <c r="AI294" s="171">
        <f t="shared" si="307"/>
        <v>0</v>
      </c>
      <c r="AJ294" s="171">
        <f t="shared" si="307"/>
        <v>0</v>
      </c>
      <c r="AK294" s="171">
        <f t="shared" si="307"/>
        <v>0</v>
      </c>
      <c r="AL294" s="171">
        <f t="shared" si="307"/>
        <v>0</v>
      </c>
      <c r="AM294" s="171">
        <f t="shared" si="307"/>
        <v>0</v>
      </c>
    </row>
    <row r="295" spans="1:39" x14ac:dyDescent="0.3">
      <c r="A295" s="47"/>
      <c r="B295" s="47"/>
      <c r="D295" s="120"/>
      <c r="E295" s="2"/>
      <c r="F295" s="2"/>
      <c r="G295" s="2"/>
      <c r="H295" s="2"/>
      <c r="I295" s="118"/>
      <c r="J295" s="118"/>
      <c r="K295" s="118"/>
      <c r="L295" s="118"/>
      <c r="M295" s="118"/>
      <c r="N295" s="118"/>
      <c r="O295" s="118"/>
      <c r="P295" s="118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</row>
    <row r="296" spans="1:39" x14ac:dyDescent="0.3">
      <c r="A296" s="47"/>
      <c r="B296" s="47"/>
      <c r="C296" s="54" t="s">
        <v>238</v>
      </c>
      <c r="D296" s="120" t="s">
        <v>203</v>
      </c>
      <c r="E296" s="229">
        <f>MIN(F297:AM297)</f>
        <v>117694.50811212287</v>
      </c>
      <c r="F296" s="123">
        <f t="shared" ref="F296:I296" si="308">IF(F294=0,0,F291/F294)</f>
        <v>0</v>
      </c>
      <c r="G296" s="123">
        <f t="shared" si="308"/>
        <v>0</v>
      </c>
      <c r="H296" s="123">
        <f t="shared" si="308"/>
        <v>0</v>
      </c>
      <c r="I296" s="123">
        <f t="shared" si="308"/>
        <v>0</v>
      </c>
      <c r="J296" s="123">
        <f t="shared" ref="J296:AB296" si="309">IF(J294=0,0,J291/J294)</f>
        <v>117694.50811212287</v>
      </c>
      <c r="K296" s="123">
        <f t="shared" si="309"/>
        <v>130616.54580880099</v>
      </c>
      <c r="L296" s="123">
        <f t="shared" si="309"/>
        <v>131227.17981534635</v>
      </c>
      <c r="M296" s="123">
        <f t="shared" si="309"/>
        <v>137417.20453171825</v>
      </c>
      <c r="N296" s="123">
        <f t="shared" si="309"/>
        <v>144761.12919637252</v>
      </c>
      <c r="O296" s="123">
        <f t="shared" si="309"/>
        <v>164065.7986198623</v>
      </c>
      <c r="P296" s="123">
        <f t="shared" si="309"/>
        <v>174339.06093962016</v>
      </c>
      <c r="Q296" s="123">
        <f t="shared" si="309"/>
        <v>184832.12075213814</v>
      </c>
      <c r="R296" s="123">
        <f t="shared" si="309"/>
        <v>198141.01939319435</v>
      </c>
      <c r="S296" s="123">
        <f t="shared" si="309"/>
        <v>212556.74122424217</v>
      </c>
      <c r="T296" s="123">
        <f t="shared" si="309"/>
        <v>223512.33070200481</v>
      </c>
      <c r="U296" s="123">
        <f t="shared" si="309"/>
        <v>228568.02567615107</v>
      </c>
      <c r="V296" s="123">
        <f t="shared" si="309"/>
        <v>256165.94905950219</v>
      </c>
      <c r="W296" s="123">
        <f t="shared" si="309"/>
        <v>294746.69813039945</v>
      </c>
      <c r="X296" s="123">
        <f t="shared" si="309"/>
        <v>371112.8246227933</v>
      </c>
      <c r="Y296" s="123">
        <f t="shared" si="309"/>
        <v>569021.99416499049</v>
      </c>
      <c r="Z296" s="123">
        <f t="shared" si="309"/>
        <v>0</v>
      </c>
      <c r="AA296" s="123">
        <f t="shared" si="309"/>
        <v>0</v>
      </c>
      <c r="AB296" s="123">
        <f t="shared" si="309"/>
        <v>0</v>
      </c>
      <c r="AC296" s="123">
        <f t="shared" ref="AC296:AM296" si="310">IF(AC294=0,0,AC291/AC294)</f>
        <v>0</v>
      </c>
      <c r="AD296" s="123">
        <f t="shared" si="310"/>
        <v>0</v>
      </c>
      <c r="AE296" s="123">
        <f t="shared" si="310"/>
        <v>0</v>
      </c>
      <c r="AF296" s="123">
        <f t="shared" si="310"/>
        <v>0</v>
      </c>
      <c r="AG296" s="123">
        <f t="shared" si="310"/>
        <v>0</v>
      </c>
      <c r="AH296" s="123">
        <f t="shared" si="310"/>
        <v>0</v>
      </c>
      <c r="AI296" s="123">
        <f t="shared" si="310"/>
        <v>0</v>
      </c>
      <c r="AJ296" s="123">
        <f t="shared" si="310"/>
        <v>0</v>
      </c>
      <c r="AK296" s="123">
        <f t="shared" si="310"/>
        <v>0</v>
      </c>
      <c r="AL296" s="123">
        <f t="shared" si="310"/>
        <v>0</v>
      </c>
      <c r="AM296" s="123">
        <f t="shared" si="310"/>
        <v>0</v>
      </c>
    </row>
    <row r="297" spans="1:39" x14ac:dyDescent="0.3">
      <c r="A297" s="47"/>
      <c r="B297" s="47"/>
      <c r="D297" s="120"/>
      <c r="E297" s="2"/>
      <c r="F297" s="329">
        <f>IF(F296=0,10000000,F296)</f>
        <v>10000000</v>
      </c>
      <c r="G297" s="329">
        <f t="shared" ref="G297:AM297" si="311">IF(G296=0,10000000,G296)</f>
        <v>10000000</v>
      </c>
      <c r="H297" s="329">
        <f t="shared" si="311"/>
        <v>10000000</v>
      </c>
      <c r="I297" s="329">
        <f t="shared" si="311"/>
        <v>10000000</v>
      </c>
      <c r="J297" s="329">
        <f t="shared" si="311"/>
        <v>117694.50811212287</v>
      </c>
      <c r="K297" s="329">
        <f t="shared" si="311"/>
        <v>130616.54580880099</v>
      </c>
      <c r="L297" s="329">
        <f t="shared" si="311"/>
        <v>131227.17981534635</v>
      </c>
      <c r="M297" s="329">
        <f t="shared" si="311"/>
        <v>137417.20453171825</v>
      </c>
      <c r="N297" s="329">
        <f t="shared" si="311"/>
        <v>144761.12919637252</v>
      </c>
      <c r="O297" s="329">
        <f t="shared" si="311"/>
        <v>164065.7986198623</v>
      </c>
      <c r="P297" s="329">
        <f t="shared" si="311"/>
        <v>174339.06093962016</v>
      </c>
      <c r="Q297" s="329">
        <f t="shared" si="311"/>
        <v>184832.12075213814</v>
      </c>
      <c r="R297" s="329">
        <f t="shared" si="311"/>
        <v>198141.01939319435</v>
      </c>
      <c r="S297" s="329">
        <f t="shared" si="311"/>
        <v>212556.74122424217</v>
      </c>
      <c r="T297" s="329">
        <f t="shared" si="311"/>
        <v>223512.33070200481</v>
      </c>
      <c r="U297" s="329">
        <f t="shared" si="311"/>
        <v>228568.02567615107</v>
      </c>
      <c r="V297" s="329">
        <f t="shared" si="311"/>
        <v>256165.94905950219</v>
      </c>
      <c r="W297" s="329">
        <f t="shared" si="311"/>
        <v>294746.69813039945</v>
      </c>
      <c r="X297" s="329">
        <f t="shared" si="311"/>
        <v>371112.8246227933</v>
      </c>
      <c r="Y297" s="329">
        <f t="shared" si="311"/>
        <v>569021.99416499049</v>
      </c>
      <c r="Z297" s="329">
        <f t="shared" si="311"/>
        <v>10000000</v>
      </c>
      <c r="AA297" s="329">
        <f t="shared" si="311"/>
        <v>10000000</v>
      </c>
      <c r="AB297" s="329">
        <f t="shared" si="311"/>
        <v>10000000</v>
      </c>
      <c r="AC297" s="329">
        <f t="shared" si="311"/>
        <v>10000000</v>
      </c>
      <c r="AD297" s="329">
        <f t="shared" si="311"/>
        <v>10000000</v>
      </c>
      <c r="AE297" s="329">
        <f t="shared" si="311"/>
        <v>10000000</v>
      </c>
      <c r="AF297" s="329">
        <f t="shared" si="311"/>
        <v>10000000</v>
      </c>
      <c r="AG297" s="329">
        <f t="shared" si="311"/>
        <v>10000000</v>
      </c>
      <c r="AH297" s="329">
        <f t="shared" si="311"/>
        <v>10000000</v>
      </c>
      <c r="AI297" s="329">
        <f t="shared" si="311"/>
        <v>10000000</v>
      </c>
      <c r="AJ297" s="329">
        <f t="shared" si="311"/>
        <v>10000000</v>
      </c>
      <c r="AK297" s="329">
        <f t="shared" si="311"/>
        <v>10000000</v>
      </c>
      <c r="AL297" s="329">
        <f t="shared" si="311"/>
        <v>10000000</v>
      </c>
      <c r="AM297" s="329">
        <f t="shared" si="311"/>
        <v>10000000</v>
      </c>
    </row>
    <row r="298" spans="1:39" x14ac:dyDescent="0.3">
      <c r="A298" s="47"/>
      <c r="B298" s="47"/>
      <c r="D298" s="120"/>
      <c r="E298" s="2"/>
      <c r="F298" s="2"/>
      <c r="G298" s="2"/>
      <c r="H298" s="2"/>
      <c r="I298" s="123"/>
      <c r="J298" s="123"/>
      <c r="K298" s="123"/>
      <c r="L298" s="123"/>
      <c r="M298" s="123"/>
      <c r="N298" s="123"/>
      <c r="O298" s="123"/>
      <c r="P298" s="123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</row>
    <row r="299" spans="1:39" ht="21.6" x14ac:dyDescent="0.4">
      <c r="A299" s="47"/>
      <c r="B299" s="47"/>
      <c r="C299" s="106" t="s">
        <v>204</v>
      </c>
      <c r="D299" s="110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</row>
    <row r="300" spans="1:39" ht="16.5" customHeight="1" x14ac:dyDescent="0.4">
      <c r="A300" s="47"/>
      <c r="B300" s="47"/>
      <c r="C300" s="106"/>
      <c r="D300" s="110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</row>
    <row r="301" spans="1:39" x14ac:dyDescent="0.3">
      <c r="A301" s="47"/>
      <c r="B301" s="47"/>
      <c r="C301" s="122" t="s">
        <v>200</v>
      </c>
      <c r="D301" s="120"/>
      <c r="E301" s="2"/>
      <c r="F301" s="2"/>
      <c r="G301" s="2"/>
      <c r="H301" s="2"/>
      <c r="I301" s="118"/>
      <c r="J301" s="118"/>
      <c r="K301" s="118"/>
      <c r="L301" s="118"/>
      <c r="M301" s="118"/>
      <c r="N301" s="118"/>
      <c r="O301" s="118"/>
      <c r="P301" s="118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</row>
    <row r="302" spans="1:39" x14ac:dyDescent="0.3">
      <c r="A302" s="47"/>
      <c r="B302" s="47"/>
      <c r="C302" t="str">
        <f>C289</f>
        <v>CFADS @ Period End</v>
      </c>
      <c r="D302" s="159" t="s">
        <v>214</v>
      </c>
      <c r="E302" s="113">
        <f>SUM(F302:AM302)</f>
        <v>73902127.492488548</v>
      </c>
      <c r="F302" s="116">
        <f>F289</f>
        <v>0</v>
      </c>
      <c r="G302" s="116">
        <f t="shared" ref="G302:AB302" si="312">G289</f>
        <v>0</v>
      </c>
      <c r="H302" s="116">
        <f t="shared" si="312"/>
        <v>0</v>
      </c>
      <c r="I302" s="116">
        <f t="shared" si="312"/>
        <v>0</v>
      </c>
      <c r="J302" s="116">
        <f t="shared" si="312"/>
        <v>29.548965931215207</v>
      </c>
      <c r="K302" s="116">
        <f t="shared" si="312"/>
        <v>2176257.761353544</v>
      </c>
      <c r="L302" s="116">
        <f t="shared" si="312"/>
        <v>1381816.4650072576</v>
      </c>
      <c r="M302" s="116">
        <f t="shared" si="312"/>
        <v>1374752.0699918841</v>
      </c>
      <c r="N302" s="116">
        <f t="shared" si="312"/>
        <v>29.550835773348808</v>
      </c>
      <c r="O302" s="116">
        <f t="shared" si="312"/>
        <v>1596156.6820835602</v>
      </c>
      <c r="P302" s="116">
        <f t="shared" si="312"/>
        <v>1842266.3934976407</v>
      </c>
      <c r="Q302" s="116">
        <f t="shared" si="312"/>
        <v>1831599.0859525378</v>
      </c>
      <c r="R302" s="116">
        <f t="shared" si="312"/>
        <v>2093921.5214880076</v>
      </c>
      <c r="S302" s="116">
        <f t="shared" si="312"/>
        <v>2785836.1064765994</v>
      </c>
      <c r="T302" s="116">
        <f t="shared" si="312"/>
        <v>3525474.6900881641</v>
      </c>
      <c r="U302" s="116">
        <f t="shared" si="312"/>
        <v>2348567.0227132556</v>
      </c>
      <c r="V302" s="116">
        <f t="shared" si="312"/>
        <v>2693317.8624433707</v>
      </c>
      <c r="W302" s="116">
        <f t="shared" si="312"/>
        <v>2722852.2838168251</v>
      </c>
      <c r="X302" s="116">
        <f t="shared" si="312"/>
        <v>3236602.8410501461</v>
      </c>
      <c r="Y302" s="116">
        <f t="shared" si="312"/>
        <v>9893572.2178904787</v>
      </c>
      <c r="Z302" s="116">
        <f t="shared" si="312"/>
        <v>3520631.5598675143</v>
      </c>
      <c r="AA302" s="116">
        <f t="shared" si="312"/>
        <v>3637584.7953460068</v>
      </c>
      <c r="AB302" s="116">
        <f t="shared" si="312"/>
        <v>4158838.7678026329</v>
      </c>
      <c r="AC302" s="116">
        <f t="shared" ref="AC302:AM302" si="313">AC289</f>
        <v>-6110524.2474990692</v>
      </c>
      <c r="AD302" s="116">
        <f t="shared" si="313"/>
        <v>4842077.607761587</v>
      </c>
      <c r="AE302" s="116">
        <f t="shared" si="313"/>
        <v>4965787.1897664117</v>
      </c>
      <c r="AF302" s="116">
        <f t="shared" si="313"/>
        <v>5277676.8111405056</v>
      </c>
      <c r="AG302" s="116">
        <f t="shared" si="313"/>
        <v>5109625.6426071143</v>
      </c>
      <c r="AH302" s="116">
        <f t="shared" si="313"/>
        <v>-5983115.3653398016</v>
      </c>
      <c r="AI302" s="116">
        <f t="shared" si="313"/>
        <v>5256074.647391797</v>
      </c>
      <c r="AJ302" s="116">
        <f t="shared" si="313"/>
        <v>5590364.4711981155</v>
      </c>
      <c r="AK302" s="116">
        <f t="shared" si="313"/>
        <v>5405058.636530133</v>
      </c>
      <c r="AL302" s="116">
        <f t="shared" si="313"/>
        <v>5715466.8985741921</v>
      </c>
      <c r="AM302" s="116">
        <f t="shared" si="313"/>
        <v>-6986472.0263135638</v>
      </c>
    </row>
    <row r="303" spans="1:39" x14ac:dyDescent="0.3">
      <c r="A303" s="47"/>
      <c r="B303" s="47"/>
      <c r="D303" s="120"/>
      <c r="E303" s="2"/>
      <c r="F303" s="2"/>
      <c r="G303" s="2"/>
      <c r="H303" s="2"/>
      <c r="I303" s="123"/>
      <c r="J303" s="123"/>
      <c r="K303" s="123"/>
      <c r="L303" s="123"/>
      <c r="M303" s="123"/>
      <c r="N303" s="123"/>
      <c r="O303" s="123"/>
      <c r="P303" s="123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</row>
    <row r="304" spans="1:39" x14ac:dyDescent="0.3">
      <c r="A304" s="47"/>
      <c r="B304" s="47"/>
      <c r="C304" s="122" t="s">
        <v>201</v>
      </c>
      <c r="D304" s="120"/>
      <c r="E304" s="2"/>
      <c r="F304" s="2"/>
      <c r="G304" s="2"/>
      <c r="H304" s="2"/>
      <c r="I304" s="118"/>
      <c r="J304" s="118"/>
      <c r="K304" s="118"/>
      <c r="L304" s="118"/>
      <c r="M304" s="118"/>
      <c r="N304" s="118"/>
      <c r="O304" s="118"/>
      <c r="P304" s="118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</row>
    <row r="305" spans="1:39" x14ac:dyDescent="0.3">
      <c r="A305" s="47"/>
      <c r="B305" s="47"/>
      <c r="C305" t="s">
        <v>205</v>
      </c>
      <c r="D305" s="159" t="s">
        <v>214</v>
      </c>
      <c r="E305" s="113">
        <f>SUM(F305:AM305)</f>
        <v>114.0050195774545</v>
      </c>
      <c r="F305" s="116">
        <f t="shared" ref="F305:AM305" si="314">-F222</f>
        <v>0</v>
      </c>
      <c r="G305" s="116">
        <f t="shared" si="314"/>
        <v>0</v>
      </c>
      <c r="H305" s="116">
        <f t="shared" si="314"/>
        <v>0</v>
      </c>
      <c r="I305" s="116">
        <f t="shared" si="314"/>
        <v>0</v>
      </c>
      <c r="J305" s="116">
        <f t="shared" si="314"/>
        <v>11.493946377176057</v>
      </c>
      <c r="K305" s="116">
        <f t="shared" si="314"/>
        <v>11.1132031811593</v>
      </c>
      <c r="L305" s="116">
        <f t="shared" si="314"/>
        <v>10.641477749416813</v>
      </c>
      <c r="M305" s="116">
        <f t="shared" si="314"/>
        <v>10.169582071794501</v>
      </c>
      <c r="N305" s="116">
        <f t="shared" si="314"/>
        <v>9.664653696738629</v>
      </c>
      <c r="O305" s="116">
        <f t="shared" si="314"/>
        <v>9.1502362452072195</v>
      </c>
      <c r="P305" s="116">
        <f t="shared" si="314"/>
        <v>8.5468952461477148</v>
      </c>
      <c r="Q305" s="116">
        <f t="shared" si="314"/>
        <v>7.9282923121591562</v>
      </c>
      <c r="R305" s="116">
        <f t="shared" si="314"/>
        <v>7.2663871727913998</v>
      </c>
      <c r="S305" s="116">
        <f t="shared" si="314"/>
        <v>6.5767326096926988</v>
      </c>
      <c r="T305" s="116">
        <f t="shared" si="314"/>
        <v>5.8007926844622597</v>
      </c>
      <c r="U305" s="116">
        <f t="shared" si="314"/>
        <v>4.989866231905598</v>
      </c>
      <c r="V305" s="116">
        <f t="shared" si="314"/>
        <v>4.1221749276699704</v>
      </c>
      <c r="W305" s="116">
        <f t="shared" si="314"/>
        <v>3.2027954016333751</v>
      </c>
      <c r="X305" s="116">
        <f t="shared" si="314"/>
        <v>2.2005178967721553</v>
      </c>
      <c r="Y305" s="116">
        <f t="shared" si="314"/>
        <v>1.1374657727276356</v>
      </c>
      <c r="Z305" s="116">
        <f t="shared" si="314"/>
        <v>0</v>
      </c>
      <c r="AA305" s="116">
        <f t="shared" si="314"/>
        <v>0</v>
      </c>
      <c r="AB305" s="116">
        <f t="shared" si="314"/>
        <v>0</v>
      </c>
      <c r="AC305" s="116">
        <f t="shared" si="314"/>
        <v>0</v>
      </c>
      <c r="AD305" s="116">
        <f t="shared" si="314"/>
        <v>0</v>
      </c>
      <c r="AE305" s="116">
        <f t="shared" si="314"/>
        <v>0</v>
      </c>
      <c r="AF305" s="116">
        <f t="shared" si="314"/>
        <v>0</v>
      </c>
      <c r="AG305" s="116">
        <f t="shared" si="314"/>
        <v>0</v>
      </c>
      <c r="AH305" s="116">
        <f t="shared" si="314"/>
        <v>0</v>
      </c>
      <c r="AI305" s="116">
        <f t="shared" si="314"/>
        <v>0</v>
      </c>
      <c r="AJ305" s="116">
        <f t="shared" si="314"/>
        <v>0</v>
      </c>
      <c r="AK305" s="116">
        <f t="shared" si="314"/>
        <v>0</v>
      </c>
      <c r="AL305" s="116">
        <f t="shared" si="314"/>
        <v>0</v>
      </c>
      <c r="AM305" s="116">
        <f t="shared" si="314"/>
        <v>0</v>
      </c>
    </row>
    <row r="306" spans="1:39" x14ac:dyDescent="0.3">
      <c r="A306" s="47"/>
      <c r="B306" s="47"/>
      <c r="C306" t="s">
        <v>206</v>
      </c>
      <c r="D306" s="159" t="s">
        <v>214</v>
      </c>
      <c r="E306" s="113">
        <f>SUM(F306:AM306)</f>
        <v>164.19923395965787</v>
      </c>
      <c r="F306" s="116">
        <f t="shared" ref="F306:AM306" si="315">-F223</f>
        <v>0</v>
      </c>
      <c r="G306" s="116">
        <f t="shared" si="315"/>
        <v>0</v>
      </c>
      <c r="H306" s="116">
        <f t="shared" si="315"/>
        <v>0</v>
      </c>
      <c r="I306" s="116">
        <f t="shared" si="315"/>
        <v>0</v>
      </c>
      <c r="J306" s="116">
        <f t="shared" si="315"/>
        <v>5.8877982882443387</v>
      </c>
      <c r="K306" s="116">
        <f t="shared" si="315"/>
        <v>6.2903249654591562</v>
      </c>
      <c r="L306" s="116">
        <f t="shared" si="315"/>
        <v>6.7413668231758752</v>
      </c>
      <c r="M306" s="116">
        <f t="shared" si="315"/>
        <v>7.2132625007981872</v>
      </c>
      <c r="N306" s="116">
        <f t="shared" si="315"/>
        <v>7.7181908758540594</v>
      </c>
      <c r="O306" s="116">
        <f t="shared" si="315"/>
        <v>8.2497869897304223</v>
      </c>
      <c r="P306" s="116">
        <f t="shared" si="315"/>
        <v>8.8371847712650951</v>
      </c>
      <c r="Q306" s="116">
        <f t="shared" si="315"/>
        <v>9.4557877052536501</v>
      </c>
      <c r="R306" s="116">
        <f t="shared" si="315"/>
        <v>10.117692844621402</v>
      </c>
      <c r="S306" s="116">
        <f t="shared" si="315"/>
        <v>10.819371274366311</v>
      </c>
      <c r="T306" s="116">
        <f t="shared" si="315"/>
        <v>11.584663607952297</v>
      </c>
      <c r="U306" s="116">
        <f t="shared" si="315"/>
        <v>12.395590060508951</v>
      </c>
      <c r="V306" s="116">
        <f t="shared" si="315"/>
        <v>13.263281364744579</v>
      </c>
      <c r="W306" s="116">
        <f t="shared" si="315"/>
        <v>14.188961933795619</v>
      </c>
      <c r="X306" s="116">
        <f t="shared" si="315"/>
        <v>15.186458914921698</v>
      </c>
      <c r="Y306" s="116">
        <f t="shared" si="315"/>
        <v>16.249511038966219</v>
      </c>
      <c r="Z306" s="116">
        <f t="shared" si="315"/>
        <v>0</v>
      </c>
      <c r="AA306" s="116">
        <f t="shared" si="315"/>
        <v>0</v>
      </c>
      <c r="AB306" s="116">
        <f t="shared" si="315"/>
        <v>0</v>
      </c>
      <c r="AC306" s="116">
        <f t="shared" si="315"/>
        <v>0</v>
      </c>
      <c r="AD306" s="116">
        <f t="shared" si="315"/>
        <v>0</v>
      </c>
      <c r="AE306" s="116">
        <f t="shared" si="315"/>
        <v>0</v>
      </c>
      <c r="AF306" s="116">
        <f t="shared" si="315"/>
        <v>0</v>
      </c>
      <c r="AG306" s="116">
        <f t="shared" si="315"/>
        <v>0</v>
      </c>
      <c r="AH306" s="116">
        <f t="shared" si="315"/>
        <v>0</v>
      </c>
      <c r="AI306" s="116">
        <f t="shared" si="315"/>
        <v>0</v>
      </c>
      <c r="AJ306" s="116">
        <f t="shared" si="315"/>
        <v>0</v>
      </c>
      <c r="AK306" s="116">
        <f t="shared" si="315"/>
        <v>0</v>
      </c>
      <c r="AL306" s="116">
        <f t="shared" si="315"/>
        <v>0</v>
      </c>
      <c r="AM306" s="116">
        <f t="shared" si="315"/>
        <v>0</v>
      </c>
    </row>
    <row r="307" spans="1:39" x14ac:dyDescent="0.3">
      <c r="A307" s="47"/>
      <c r="B307" s="47"/>
      <c r="C307" t="s">
        <v>207</v>
      </c>
      <c r="D307" s="159" t="s">
        <v>214</v>
      </c>
      <c r="E307" s="2"/>
      <c r="F307" s="117">
        <f t="shared" ref="F307:AB307" si="316">SUM(F305:F306)</f>
        <v>0</v>
      </c>
      <c r="G307" s="117">
        <f t="shared" si="316"/>
        <v>0</v>
      </c>
      <c r="H307" s="117">
        <f t="shared" si="316"/>
        <v>0</v>
      </c>
      <c r="I307" s="117">
        <f t="shared" si="316"/>
        <v>0</v>
      </c>
      <c r="J307" s="117">
        <f t="shared" si="316"/>
        <v>17.381744665420396</v>
      </c>
      <c r="K307" s="117">
        <f t="shared" si="316"/>
        <v>17.403528146618456</v>
      </c>
      <c r="L307" s="117">
        <f t="shared" si="316"/>
        <v>17.382844572592688</v>
      </c>
      <c r="M307" s="117">
        <f t="shared" si="316"/>
        <v>17.382844572592688</v>
      </c>
      <c r="N307" s="117">
        <f t="shared" si="316"/>
        <v>17.382844572592688</v>
      </c>
      <c r="O307" s="117">
        <f t="shared" si="316"/>
        <v>17.400023234937642</v>
      </c>
      <c r="P307" s="117">
        <f t="shared" si="316"/>
        <v>17.38408001741281</v>
      </c>
      <c r="Q307" s="117">
        <f t="shared" si="316"/>
        <v>17.384080017412806</v>
      </c>
      <c r="R307" s="117">
        <f t="shared" si="316"/>
        <v>17.384080017412803</v>
      </c>
      <c r="S307" s="117">
        <f t="shared" si="316"/>
        <v>17.396103884059009</v>
      </c>
      <c r="T307" s="117">
        <f t="shared" si="316"/>
        <v>17.385456292414556</v>
      </c>
      <c r="U307" s="117">
        <f t="shared" si="316"/>
        <v>17.385456292414549</v>
      </c>
      <c r="V307" s="117">
        <f t="shared" si="316"/>
        <v>17.385456292414549</v>
      </c>
      <c r="W307" s="117">
        <f t="shared" si="316"/>
        <v>17.391757335428995</v>
      </c>
      <c r="X307" s="117">
        <f t="shared" si="316"/>
        <v>17.386976811693852</v>
      </c>
      <c r="Y307" s="117">
        <f t="shared" si="316"/>
        <v>17.386976811693856</v>
      </c>
      <c r="Z307" s="117">
        <f t="shared" si="316"/>
        <v>0</v>
      </c>
      <c r="AA307" s="117">
        <f t="shared" si="316"/>
        <v>0</v>
      </c>
      <c r="AB307" s="117">
        <f t="shared" si="316"/>
        <v>0</v>
      </c>
      <c r="AC307" s="117">
        <f t="shared" ref="AC307:AM307" si="317">SUM(AC305:AC306)</f>
        <v>0</v>
      </c>
      <c r="AD307" s="117">
        <f t="shared" si="317"/>
        <v>0</v>
      </c>
      <c r="AE307" s="117">
        <f t="shared" si="317"/>
        <v>0</v>
      </c>
      <c r="AF307" s="117">
        <f t="shared" si="317"/>
        <v>0</v>
      </c>
      <c r="AG307" s="117">
        <f t="shared" si="317"/>
        <v>0</v>
      </c>
      <c r="AH307" s="117">
        <f t="shared" si="317"/>
        <v>0</v>
      </c>
      <c r="AI307" s="117">
        <f t="shared" si="317"/>
        <v>0</v>
      </c>
      <c r="AJ307" s="117">
        <f t="shared" si="317"/>
        <v>0</v>
      </c>
      <c r="AK307" s="117">
        <f t="shared" si="317"/>
        <v>0</v>
      </c>
      <c r="AL307" s="117">
        <f t="shared" si="317"/>
        <v>0</v>
      </c>
      <c r="AM307" s="117">
        <f t="shared" si="317"/>
        <v>0</v>
      </c>
    </row>
    <row r="308" spans="1:39" x14ac:dyDescent="0.3">
      <c r="A308" s="47"/>
      <c r="B308" s="47"/>
      <c r="D308" s="159"/>
      <c r="E308" s="2"/>
      <c r="F308" s="116"/>
      <c r="G308" s="116"/>
      <c r="H308" s="116"/>
      <c r="I308" s="116"/>
      <c r="J308" s="116"/>
      <c r="K308" s="116"/>
      <c r="L308" s="116"/>
      <c r="M308" s="116"/>
      <c r="N308" s="116"/>
      <c r="O308" s="116"/>
      <c r="P308" s="116"/>
      <c r="Q308" s="116"/>
      <c r="R308" s="116"/>
      <c r="S308" s="116"/>
      <c r="T308" s="116"/>
      <c r="U308" s="116"/>
      <c r="V308" s="116"/>
      <c r="W308" s="116"/>
      <c r="X308" s="116"/>
      <c r="Y308" s="116"/>
      <c r="Z308" s="116"/>
      <c r="AA308" s="116"/>
      <c r="AB308" s="116"/>
      <c r="AC308" s="116"/>
      <c r="AD308" s="116"/>
      <c r="AE308" s="116"/>
      <c r="AF308" s="116"/>
      <c r="AG308" s="116"/>
      <c r="AH308" s="116"/>
      <c r="AI308" s="116"/>
      <c r="AJ308" s="116"/>
      <c r="AK308" s="116"/>
      <c r="AL308" s="116"/>
      <c r="AM308" s="116"/>
    </row>
    <row r="309" spans="1:39" x14ac:dyDescent="0.3">
      <c r="A309" s="47"/>
      <c r="B309" s="47"/>
      <c r="F309" s="2"/>
      <c r="G309" s="2"/>
      <c r="H309" s="2"/>
      <c r="I309" s="123"/>
      <c r="J309" s="123"/>
      <c r="K309" s="123"/>
      <c r="L309" s="123"/>
      <c r="M309" s="123"/>
      <c r="N309" s="123"/>
      <c r="O309" s="123"/>
      <c r="P309" s="123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</row>
    <row r="310" spans="1:39" x14ac:dyDescent="0.3">
      <c r="A310" s="47"/>
      <c r="B310" s="47"/>
      <c r="C310" s="54" t="s">
        <v>239</v>
      </c>
      <c r="E310" s="124" t="s">
        <v>208</v>
      </c>
      <c r="F310" s="123">
        <f t="shared" ref="F310:AM310" si="318">IF(F307=0,0,F302/F307)</f>
        <v>0</v>
      </c>
      <c r="G310" s="123">
        <f t="shared" si="318"/>
        <v>0</v>
      </c>
      <c r="H310" s="123">
        <f t="shared" si="318"/>
        <v>0</v>
      </c>
      <c r="I310" s="123">
        <f t="shared" si="318"/>
        <v>0</v>
      </c>
      <c r="J310" s="123">
        <f t="shared" si="318"/>
        <v>1.7000000000000308</v>
      </c>
      <c r="K310" s="123">
        <f t="shared" si="318"/>
        <v>125046.92973857693</v>
      </c>
      <c r="L310" s="123">
        <f t="shared" si="318"/>
        <v>79493.115136400069</v>
      </c>
      <c r="M310" s="123">
        <f t="shared" si="318"/>
        <v>79086.714734793073</v>
      </c>
      <c r="N310" s="123">
        <f t="shared" si="318"/>
        <v>1.6999999999966195</v>
      </c>
      <c r="O310" s="123">
        <f t="shared" si="318"/>
        <v>91733.020153595236</v>
      </c>
      <c r="P310" s="123">
        <f t="shared" si="318"/>
        <v>105974.33926053779</v>
      </c>
      <c r="Q310" s="123">
        <f t="shared" si="318"/>
        <v>105360.71417744926</v>
      </c>
      <c r="R310" s="123">
        <f t="shared" si="318"/>
        <v>120450.52251201251</v>
      </c>
      <c r="S310" s="123">
        <f t="shared" si="318"/>
        <v>160141.3813715732</v>
      </c>
      <c r="T310" s="123">
        <f t="shared" si="318"/>
        <v>202782.98313207706</v>
      </c>
      <c r="U310" s="123">
        <f t="shared" si="318"/>
        <v>135088.02893703509</v>
      </c>
      <c r="V310" s="123">
        <f t="shared" si="318"/>
        <v>154917.8702671435</v>
      </c>
      <c r="W310" s="123">
        <f t="shared" si="318"/>
        <v>156559.92843633256</v>
      </c>
      <c r="X310" s="123">
        <f t="shared" si="318"/>
        <v>186150.98392915115</v>
      </c>
      <c r="Y310" s="123">
        <f t="shared" si="318"/>
        <v>569021.99416499003</v>
      </c>
      <c r="Z310" s="123">
        <f t="shared" si="318"/>
        <v>0</v>
      </c>
      <c r="AA310" s="123">
        <f t="shared" si="318"/>
        <v>0</v>
      </c>
      <c r="AB310" s="123">
        <f t="shared" si="318"/>
        <v>0</v>
      </c>
      <c r="AC310" s="123">
        <f t="shared" si="318"/>
        <v>0</v>
      </c>
      <c r="AD310" s="123">
        <f t="shared" si="318"/>
        <v>0</v>
      </c>
      <c r="AE310" s="123">
        <f t="shared" si="318"/>
        <v>0</v>
      </c>
      <c r="AF310" s="123">
        <f t="shared" si="318"/>
        <v>0</v>
      </c>
      <c r="AG310" s="123">
        <f t="shared" si="318"/>
        <v>0</v>
      </c>
      <c r="AH310" s="123">
        <f t="shared" si="318"/>
        <v>0</v>
      </c>
      <c r="AI310" s="123">
        <f t="shared" si="318"/>
        <v>0</v>
      </c>
      <c r="AJ310" s="123">
        <f t="shared" si="318"/>
        <v>0</v>
      </c>
      <c r="AK310" s="123">
        <f t="shared" si="318"/>
        <v>0</v>
      </c>
      <c r="AL310" s="123">
        <f t="shared" si="318"/>
        <v>0</v>
      </c>
      <c r="AM310" s="123">
        <f t="shared" si="318"/>
        <v>0</v>
      </c>
    </row>
    <row r="311" spans="1:39" x14ac:dyDescent="0.3">
      <c r="A311" s="47"/>
      <c r="B311" s="47"/>
      <c r="E311" s="229">
        <f>AVERAGEIF(F286:AM286,1,F310:AM310)</f>
        <v>141988.2453719792</v>
      </c>
      <c r="F311" s="2"/>
      <c r="G311" s="2"/>
      <c r="H311" s="2"/>
      <c r="I311" s="118"/>
      <c r="J311" s="118"/>
      <c r="K311" s="118"/>
      <c r="L311" s="118"/>
      <c r="M311" s="118"/>
      <c r="N311" s="118"/>
      <c r="O311" s="118"/>
      <c r="P311" s="118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</row>
    <row r="312" spans="1:39" x14ac:dyDescent="0.3">
      <c r="A312" s="47"/>
      <c r="B312" s="47"/>
      <c r="C312" s="2"/>
      <c r="E312" s="124" t="s">
        <v>209</v>
      </c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</row>
    <row r="313" spans="1:39" x14ac:dyDescent="0.3">
      <c r="A313" s="47"/>
      <c r="B313" s="47"/>
      <c r="C313" s="2"/>
      <c r="E313" s="229">
        <f>MIN(F313:AM313)</f>
        <v>1.6999999999966195</v>
      </c>
      <c r="F313" s="329">
        <f>IF(F310=0,10000000,F310)</f>
        <v>10000000</v>
      </c>
      <c r="G313" s="329">
        <f t="shared" ref="G313:AM313" si="319">IF(G310=0,10000000,G310)</f>
        <v>10000000</v>
      </c>
      <c r="H313" s="329">
        <f t="shared" si="319"/>
        <v>10000000</v>
      </c>
      <c r="I313" s="329">
        <f t="shared" si="319"/>
        <v>10000000</v>
      </c>
      <c r="J313" s="329">
        <f t="shared" si="319"/>
        <v>1.7000000000000308</v>
      </c>
      <c r="K313" s="329">
        <f t="shared" si="319"/>
        <v>125046.92973857693</v>
      </c>
      <c r="L313" s="329">
        <f t="shared" si="319"/>
        <v>79493.115136400069</v>
      </c>
      <c r="M313" s="329">
        <f t="shared" si="319"/>
        <v>79086.714734793073</v>
      </c>
      <c r="N313" s="329">
        <f t="shared" si="319"/>
        <v>1.6999999999966195</v>
      </c>
      <c r="O313" s="329">
        <f t="shared" si="319"/>
        <v>91733.020153595236</v>
      </c>
      <c r="P313" s="329">
        <f t="shared" si="319"/>
        <v>105974.33926053779</v>
      </c>
      <c r="Q313" s="329">
        <f t="shared" si="319"/>
        <v>105360.71417744926</v>
      </c>
      <c r="R313" s="329">
        <f t="shared" si="319"/>
        <v>120450.52251201251</v>
      </c>
      <c r="S313" s="329">
        <f t="shared" si="319"/>
        <v>160141.3813715732</v>
      </c>
      <c r="T313" s="329">
        <f t="shared" si="319"/>
        <v>202782.98313207706</v>
      </c>
      <c r="U313" s="329">
        <f t="shared" si="319"/>
        <v>135088.02893703509</v>
      </c>
      <c r="V313" s="329">
        <f t="shared" si="319"/>
        <v>154917.8702671435</v>
      </c>
      <c r="W313" s="329">
        <f t="shared" si="319"/>
        <v>156559.92843633256</v>
      </c>
      <c r="X313" s="329">
        <f t="shared" si="319"/>
        <v>186150.98392915115</v>
      </c>
      <c r="Y313" s="329">
        <f t="shared" si="319"/>
        <v>569021.99416499003</v>
      </c>
      <c r="Z313" s="329">
        <f t="shared" si="319"/>
        <v>10000000</v>
      </c>
      <c r="AA313" s="329">
        <f t="shared" si="319"/>
        <v>10000000</v>
      </c>
      <c r="AB313" s="329">
        <f t="shared" si="319"/>
        <v>10000000</v>
      </c>
      <c r="AC313" s="329">
        <f t="shared" si="319"/>
        <v>10000000</v>
      </c>
      <c r="AD313" s="329">
        <f t="shared" si="319"/>
        <v>10000000</v>
      </c>
      <c r="AE313" s="329">
        <f t="shared" si="319"/>
        <v>10000000</v>
      </c>
      <c r="AF313" s="329">
        <f t="shared" si="319"/>
        <v>10000000</v>
      </c>
      <c r="AG313" s="329">
        <f t="shared" si="319"/>
        <v>10000000</v>
      </c>
      <c r="AH313" s="329">
        <f t="shared" si="319"/>
        <v>10000000</v>
      </c>
      <c r="AI313" s="329">
        <f t="shared" si="319"/>
        <v>10000000</v>
      </c>
      <c r="AJ313" s="329">
        <f t="shared" si="319"/>
        <v>10000000</v>
      </c>
      <c r="AK313" s="329">
        <f t="shared" si="319"/>
        <v>10000000</v>
      </c>
      <c r="AL313" s="329">
        <f t="shared" si="319"/>
        <v>10000000</v>
      </c>
      <c r="AM313" s="329">
        <f t="shared" si="319"/>
        <v>10000000</v>
      </c>
    </row>
    <row r="314" spans="1:39" x14ac:dyDescent="0.3">
      <c r="A314" s="47"/>
      <c r="B314" s="47"/>
      <c r="C314" s="2"/>
      <c r="E314" s="124" t="s">
        <v>210</v>
      </c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 t="s">
        <v>127</v>
      </c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</row>
    <row r="315" spans="1:39" x14ac:dyDescent="0.3">
      <c r="A315" s="47"/>
      <c r="B315" s="47"/>
      <c r="C315" s="2"/>
      <c r="D315" s="110"/>
      <c r="E315" s="230">
        <f>INDEX(F248:AA248,1,MATCH(E313,F313:AM313,0))</f>
        <v>45291</v>
      </c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</row>
    <row r="318" spans="1:39" x14ac:dyDescent="0.3">
      <c r="F318" s="326"/>
    </row>
    <row r="326" ht="13.5" customHeight="1" x14ac:dyDescent="0.3"/>
  </sheetData>
  <sheetProtection algorithmName="SHA-512" hashValue="YS47QV0qN5qfIEHj67F5YENXZhcyx101Fid2QUtDHoQGE8nreW/LeYdrlLXB2J5NLal4ZkTO3QfiCWfUSxL5UA==" saltValue="8pitDeriLHPnZlSUK/INTQ==" spinCount="100000" sheet="1" objects="1" scenarios="1"/>
  <mergeCells count="3">
    <mergeCell ref="C2:C5"/>
    <mergeCell ref="D76:D77"/>
    <mergeCell ref="E76:E77"/>
  </mergeCells>
  <conditionalFormatting sqref="I298:P298 I303:P303 I309:P310 F173:AM176 F282:AM282 Q310:AM310 E296:AM296 E313 F310:H310 E311 F88:AM91 F141:AM144 F195:AM195">
    <cfRule type="cellIs" dxfId="17" priority="20" stopIfTrue="1" operator="equal">
      <formula>0</formula>
    </cfRule>
  </conditionalFormatting>
  <conditionalFormatting sqref="F98:AM98 F286:AM287 F188:AM188 F191:AM191">
    <cfRule type="cellIs" dxfId="16" priority="18" stopIfTrue="1" operator="equal">
      <formula>1</formula>
    </cfRule>
  </conditionalFormatting>
  <conditionalFormatting sqref="F283:AM285">
    <cfRule type="cellIs" dxfId="15" priority="22" stopIfTrue="1" operator="equal">
      <formula>1</formula>
    </cfRule>
  </conditionalFormatting>
  <conditionalFormatting sqref="F78:AM78 F94:AM94">
    <cfRule type="cellIs" dxfId="14" priority="19" stopIfTrue="1" operator="equal">
      <formula>1</formula>
    </cfRule>
  </conditionalFormatting>
  <conditionalFormatting sqref="E80:AL80 F79:AM79">
    <cfRule type="cellIs" dxfId="13" priority="21" stopIfTrue="1" operator="equal">
      <formula>1</formula>
    </cfRule>
  </conditionalFormatting>
  <conditionalFormatting sqref="F232:AM233">
    <cfRule type="colorScale" priority="13">
      <colorScale>
        <cfvo type="min"/>
        <cfvo type="num" val="0"/>
        <cfvo type="max"/>
        <color rgb="FFF8696B"/>
        <color theme="0" tint="-4.9989318521683403E-2"/>
        <color rgb="FF63BE7B"/>
      </colorScale>
    </cfRule>
    <cfRule type="expression" dxfId="12" priority="14">
      <formula>"Si($F$148:$AM$148&lt;0)"</formula>
    </cfRule>
    <cfRule type="colorScale" priority="15">
      <colorScale>
        <cfvo type="min"/>
        <cfvo type="num" val="0"/>
        <cfvo type="max"/>
        <color rgb="FFF8696B"/>
        <color rgb="FFFFEB84"/>
        <color rgb="FF63BE7B"/>
      </colorScale>
    </cfRule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313:AM313">
    <cfRule type="cellIs" dxfId="11" priority="12" stopIfTrue="1" operator="equal">
      <formula>0</formula>
    </cfRule>
  </conditionalFormatting>
  <conditionalFormatting sqref="F297:AM297">
    <cfRule type="cellIs" dxfId="10" priority="11" stopIfTrue="1" operator="equal">
      <formula>0</formula>
    </cfRule>
  </conditionalFormatting>
  <conditionalFormatting sqref="F201:AM201">
    <cfRule type="cellIs" dxfId="9" priority="10" stopIfTrue="1" operator="equal">
      <formula>0</formula>
    </cfRule>
  </conditionalFormatting>
  <conditionalFormatting sqref="F146:AM149">
    <cfRule type="cellIs" dxfId="8" priority="9" stopIfTrue="1" operator="equal">
      <formula>0</formula>
    </cfRule>
  </conditionalFormatting>
  <conditionalFormatting sqref="F178:AM181">
    <cfRule type="cellIs" dxfId="7" priority="8" stopIfTrue="1" operator="equal">
      <formula>0</formula>
    </cfRule>
  </conditionalFormatting>
  <conditionalFormatting sqref="F97:AM97">
    <cfRule type="cellIs" dxfId="6" priority="7" stopIfTrue="1" operator="equal">
      <formula>1</formula>
    </cfRule>
  </conditionalFormatting>
  <conditionalFormatting sqref="D21">
    <cfRule type="containsText" dxfId="5" priority="4" operator="containsText" text="NOK">
      <formula>NOT(ISERROR(SEARCH("NOK",D21)))</formula>
    </cfRule>
    <cfRule type="containsText" dxfId="4" priority="5" operator="containsText" text="OK">
      <formula>NOT(ISERROR(SEARCH("OK",D21)))</formula>
    </cfRule>
    <cfRule type="containsText" dxfId="3" priority="6" operator="containsText" text="&quot;OK&quot;">
      <formula>NOT(ISERROR(SEARCH("""OK""",D21)))</formula>
    </cfRule>
  </conditionalFormatting>
  <conditionalFormatting sqref="D22">
    <cfRule type="containsText" dxfId="2" priority="1" operator="containsText" text="NOK">
      <formula>NOT(ISERROR(SEARCH("NOK",D22)))</formula>
    </cfRule>
    <cfRule type="containsText" dxfId="1" priority="2" operator="containsText" text="OK">
      <formula>NOT(ISERROR(SEARCH("OK",D22)))</formula>
    </cfRule>
    <cfRule type="containsText" dxfId="0" priority="3" operator="containsText" text="&quot;OK&quot;">
      <formula>NOT(ISERROR(SEARCH("""OK""",D22)))</formula>
    </cfRule>
  </conditionalFormatting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I423"/>
  <sheetViews>
    <sheetView workbookViewId="0">
      <selection activeCell="B2" sqref="B2:G2"/>
    </sheetView>
  </sheetViews>
  <sheetFormatPr baseColWidth="10" defaultRowHeight="14.4" x14ac:dyDescent="0.3"/>
  <cols>
    <col min="2" max="2" width="33.44140625" customWidth="1"/>
    <col min="3" max="3" width="14.88671875" bestFit="1" customWidth="1"/>
    <col min="4" max="4" width="8.5546875" customWidth="1"/>
    <col min="5" max="5" width="34.109375" bestFit="1" customWidth="1"/>
    <col min="6" max="6" width="14.88671875" bestFit="1" customWidth="1"/>
    <col min="7" max="7" width="8.5546875" customWidth="1"/>
    <col min="8" max="8" width="4.6640625" customWidth="1"/>
  </cols>
  <sheetData>
    <row r="1" spans="1:8" ht="15" thickBot="1" x14ac:dyDescent="0.35">
      <c r="A1" s="330"/>
      <c r="B1" s="330"/>
      <c r="C1" s="330"/>
      <c r="D1" s="330"/>
      <c r="E1" s="330"/>
      <c r="F1" s="330"/>
      <c r="G1" s="330"/>
      <c r="H1" s="330"/>
    </row>
    <row r="2" spans="1:8" ht="21.6" thickBot="1" x14ac:dyDescent="0.45">
      <c r="A2" s="330"/>
      <c r="B2" s="481" t="s">
        <v>357</v>
      </c>
      <c r="C2" s="482"/>
      <c r="D2" s="482"/>
      <c r="E2" s="482"/>
      <c r="F2" s="482"/>
      <c r="G2" s="483"/>
      <c r="H2" s="330"/>
    </row>
    <row r="3" spans="1:8" ht="15" thickBot="1" x14ac:dyDescent="0.35">
      <c r="A3" s="330"/>
      <c r="B3" s="363" t="s">
        <v>247</v>
      </c>
      <c r="C3" s="342" t="s">
        <v>217</v>
      </c>
      <c r="D3" s="335" t="s">
        <v>136</v>
      </c>
      <c r="E3" s="349" t="s">
        <v>248</v>
      </c>
      <c r="F3" s="350" t="s">
        <v>217</v>
      </c>
      <c r="G3" s="336" t="s">
        <v>136</v>
      </c>
      <c r="H3" s="334"/>
    </row>
    <row r="4" spans="1:8" x14ac:dyDescent="0.3">
      <c r="A4" s="330"/>
      <c r="B4" s="337" t="s">
        <v>249</v>
      </c>
      <c r="C4" s="343"/>
      <c r="D4" s="361"/>
      <c r="E4" s="337" t="s">
        <v>249</v>
      </c>
      <c r="F4" s="343"/>
      <c r="G4" s="355"/>
      <c r="H4" s="334"/>
    </row>
    <row r="5" spans="1:8" x14ac:dyDescent="0.3">
      <c r="A5" s="330"/>
      <c r="B5" s="338"/>
      <c r="C5" s="344"/>
      <c r="D5" s="362"/>
      <c r="E5" s="338"/>
      <c r="F5" s="344"/>
      <c r="G5" s="356"/>
      <c r="H5" s="334"/>
    </row>
    <row r="6" spans="1:8" x14ac:dyDescent="0.3">
      <c r="A6" s="330"/>
      <c r="B6" s="338" t="s">
        <v>250</v>
      </c>
      <c r="C6" s="345">
        <f>NPV(0,'Project Finance Model'!$F$109:$AM$109)</f>
        <v>170011097.07224563</v>
      </c>
      <c r="D6" s="357">
        <f>C6/C$21</f>
        <v>0.31947079040063964</v>
      </c>
      <c r="E6" s="338" t="s">
        <v>342</v>
      </c>
      <c r="F6" s="345">
        <f>-NPV(0,'Project Finance Model'!$F$117:$AM$117)</f>
        <v>164.19923395965782</v>
      </c>
      <c r="G6" s="357">
        <f>F6/F$21</f>
        <v>3.0854961799334823E-7</v>
      </c>
      <c r="H6" s="334"/>
    </row>
    <row r="7" spans="1:8" x14ac:dyDescent="0.3">
      <c r="A7" s="330"/>
      <c r="B7" s="338" t="s">
        <v>253</v>
      </c>
      <c r="C7" s="345">
        <f>NPV(0,'Project Finance Model'!$F$112:$AM$112)</f>
        <v>12.9481926268358</v>
      </c>
      <c r="D7" s="357">
        <f>C7/C$21</f>
        <v>2.4331172517504232E-8</v>
      </c>
      <c r="E7" s="338" t="s">
        <v>341</v>
      </c>
      <c r="F7" s="345">
        <f>-NPV(0,'Project Finance Model'!$F$119:$AM$119)</f>
        <v>1536.9118826591916</v>
      </c>
      <c r="G7" s="357">
        <f>F7/F$21</f>
        <v>2.8880376774500726E-6</v>
      </c>
      <c r="H7" s="334"/>
    </row>
    <row r="8" spans="1:8" x14ac:dyDescent="0.3">
      <c r="A8" s="330"/>
      <c r="B8" s="338" t="s">
        <v>252</v>
      </c>
      <c r="C8" s="345">
        <f>NPV(0,'Project Finance Model'!$F$113:$AM$113)</f>
        <v>1.6419923395965783</v>
      </c>
      <c r="D8" s="357">
        <f>C8/C$21</f>
        <v>3.0854961799334824E-9</v>
      </c>
      <c r="E8" s="338" t="s">
        <v>254</v>
      </c>
      <c r="F8" s="345">
        <f>-NPV(0,'Project Finance Model'!$F$116:$AM$116)</f>
        <v>170109410.551314</v>
      </c>
      <c r="G8" s="357">
        <f>F8/F$21</f>
        <v>0.31965553295807203</v>
      </c>
      <c r="H8" s="334"/>
    </row>
    <row r="9" spans="1:8" x14ac:dyDescent="0.3">
      <c r="A9" s="330"/>
      <c r="B9" s="338"/>
      <c r="C9" s="344"/>
      <c r="D9" s="357"/>
      <c r="E9" s="338"/>
      <c r="F9" s="345"/>
      <c r="G9" s="357"/>
      <c r="H9" s="334"/>
    </row>
    <row r="10" spans="1:8" ht="15" thickBot="1" x14ac:dyDescent="0.35">
      <c r="A10" s="330"/>
      <c r="B10" s="339"/>
      <c r="C10" s="346"/>
      <c r="D10" s="358"/>
      <c r="E10" s="339"/>
      <c r="F10" s="351"/>
      <c r="G10" s="358"/>
      <c r="H10" s="334"/>
    </row>
    <row r="11" spans="1:8" x14ac:dyDescent="0.3">
      <c r="A11" s="330"/>
      <c r="B11" s="340" t="s">
        <v>343</v>
      </c>
      <c r="C11" s="344"/>
      <c r="D11" s="355"/>
      <c r="E11" s="337" t="s">
        <v>343</v>
      </c>
      <c r="F11" s="343"/>
      <c r="G11" s="355"/>
      <c r="H11" s="334"/>
    </row>
    <row r="12" spans="1:8" x14ac:dyDescent="0.3">
      <c r="A12" s="330"/>
      <c r="B12" s="338"/>
      <c r="C12" s="344"/>
      <c r="D12" s="356"/>
      <c r="E12" s="338"/>
      <c r="F12" s="344"/>
      <c r="G12" s="356"/>
      <c r="H12" s="334"/>
    </row>
    <row r="13" spans="1:8" x14ac:dyDescent="0.3">
      <c r="A13" s="330"/>
      <c r="B13" s="338" t="s">
        <v>255</v>
      </c>
      <c r="C13" s="345">
        <f>-NPV(0,'Project Finance Model'!$F$209:$AM$209)</f>
        <v>256197223.15754405</v>
      </c>
      <c r="D13" s="357">
        <f t="shared" ref="D13:D19" si="0">C13/C$21</f>
        <v>0.48142462927469271</v>
      </c>
      <c r="E13" s="338" t="s">
        <v>251</v>
      </c>
      <c r="F13" s="347">
        <v>0</v>
      </c>
      <c r="G13" s="357">
        <f>F13/F$21</f>
        <v>0</v>
      </c>
      <c r="H13" s="334"/>
    </row>
    <row r="14" spans="1:8" x14ac:dyDescent="0.3">
      <c r="A14" s="330"/>
      <c r="B14" s="341" t="s">
        <v>256</v>
      </c>
      <c r="C14" s="347">
        <f>NPV(0,'Project Finance Model'!$F$106:$AM$106)</f>
        <v>31918674.464747641</v>
      </c>
      <c r="D14" s="357">
        <f t="shared" si="0"/>
        <v>5.9978932760256384E-2</v>
      </c>
      <c r="E14" s="338" t="s">
        <v>341</v>
      </c>
      <c r="F14" s="347">
        <v>0</v>
      </c>
      <c r="G14" s="357">
        <f>F14/F$21</f>
        <v>0</v>
      </c>
      <c r="H14" s="334"/>
    </row>
    <row r="15" spans="1:8" x14ac:dyDescent="0.3">
      <c r="A15" s="330"/>
      <c r="B15" s="338" t="s">
        <v>21</v>
      </c>
      <c r="C15" s="345">
        <f>-NPV(0,'Project Finance Model'!$F$211:$AM$211)</f>
        <v>35625.012245197402</v>
      </c>
      <c r="D15" s="357">
        <f t="shared" si="0"/>
        <v>6.6943576131205703E-5</v>
      </c>
      <c r="E15" s="338" t="s">
        <v>254</v>
      </c>
      <c r="F15" s="345">
        <f>NPV(0,'Project Finance Model'!$F$157:$AM$157)</f>
        <v>18006245.498679101</v>
      </c>
      <c r="G15" s="357">
        <f>F15/F$21</f>
        <v>3.38358470751264E-2</v>
      </c>
      <c r="H15" s="334"/>
    </row>
    <row r="16" spans="1:8" x14ac:dyDescent="0.3">
      <c r="A16" s="330"/>
      <c r="B16" s="338" t="s">
        <v>339</v>
      </c>
      <c r="C16" s="345">
        <f>-NPV(0,'Project Finance Model'!$F$222:$AM$222)</f>
        <v>114.0050195774545</v>
      </c>
      <c r="D16" s="357">
        <f t="shared" si="0"/>
        <v>2.1422880236207575E-7</v>
      </c>
      <c r="E16" s="341" t="s">
        <v>345</v>
      </c>
      <c r="F16" s="347">
        <f>'Project Finance Model'!E220</f>
        <v>65086098.919041418</v>
      </c>
      <c r="G16" s="357">
        <f>F16/F$21</f>
        <v>0.12230441320500637</v>
      </c>
      <c r="H16" s="334"/>
    </row>
    <row r="17" spans="1:9" x14ac:dyDescent="0.3">
      <c r="A17" s="330"/>
      <c r="B17" s="338" t="s">
        <v>257</v>
      </c>
      <c r="C17" s="345">
        <f>-NPV(0,'Project Finance Model'!$F$223:$AM$223)</f>
        <v>164.19923395965787</v>
      </c>
      <c r="D17" s="357">
        <f t="shared" si="0"/>
        <v>3.0854961799334834E-7</v>
      </c>
      <c r="E17" s="338" t="s">
        <v>344</v>
      </c>
      <c r="F17" s="345">
        <f>NPV(0,'Project Finance Model'!$F$208:$AM$208)</f>
        <v>278961305.70930487</v>
      </c>
      <c r="G17" s="357">
        <f>F17/F$21</f>
        <v>0.52420101017449972</v>
      </c>
      <c r="H17" s="334"/>
    </row>
    <row r="18" spans="1:9" x14ac:dyDescent="0.3">
      <c r="A18" s="330"/>
      <c r="B18" s="338" t="s">
        <v>346</v>
      </c>
      <c r="C18" s="345">
        <f>'Project Finance Model'!E229-'Project Finance Model'!E228</f>
        <v>57290959.281932577</v>
      </c>
      <c r="D18" s="357">
        <f t="shared" si="0"/>
        <v>0.10765643160829763</v>
      </c>
      <c r="E18" s="338"/>
      <c r="F18" s="472"/>
      <c r="G18" s="473"/>
      <c r="H18" s="334"/>
    </row>
    <row r="19" spans="1:9" x14ac:dyDescent="0.3">
      <c r="A19" s="330"/>
      <c r="B19" s="338" t="s">
        <v>258</v>
      </c>
      <c r="C19" s="345">
        <f>-NPV(0,'Project Finance Model'!$F$227:$AM$227)</f>
        <v>16710890.006302441</v>
      </c>
      <c r="D19" s="357">
        <f t="shared" si="0"/>
        <v>3.1401722184893337E-2</v>
      </c>
      <c r="E19" s="338"/>
      <c r="F19" s="344"/>
      <c r="G19" s="359"/>
      <c r="H19" s="334"/>
    </row>
    <row r="20" spans="1:9" ht="15" thickBot="1" x14ac:dyDescent="0.35">
      <c r="A20" s="330"/>
      <c r="B20" s="339"/>
      <c r="C20" s="348"/>
      <c r="D20" s="432"/>
      <c r="E20" s="339"/>
      <c r="F20" s="346"/>
      <c r="G20" s="432"/>
      <c r="H20" s="334"/>
    </row>
    <row r="21" spans="1:9" ht="15" thickBot="1" x14ac:dyDescent="0.35">
      <c r="A21" s="330"/>
      <c r="B21" s="332" t="s">
        <v>333</v>
      </c>
      <c r="C21" s="352">
        <f>SUM(C6:C19)</f>
        <v>532164761.78945607</v>
      </c>
      <c r="D21" s="360">
        <f>SUM(D6:D19)</f>
        <v>1</v>
      </c>
      <c r="E21" s="353" t="s">
        <v>333</v>
      </c>
      <c r="F21" s="354">
        <f>SUM(F6:F19)</f>
        <v>532164761.78945601</v>
      </c>
      <c r="G21" s="360">
        <f>SUM(G6:G19)</f>
        <v>0.99999999999999989</v>
      </c>
      <c r="H21" s="330"/>
    </row>
    <row r="22" spans="1:9" x14ac:dyDescent="0.3">
      <c r="A22" s="331"/>
      <c r="B22" s="44"/>
      <c r="C22" s="330"/>
      <c r="D22" s="330"/>
      <c r="E22" s="330"/>
      <c r="F22" s="330"/>
      <c r="G22" s="330"/>
      <c r="H22" s="331"/>
    </row>
    <row r="23" spans="1:9" x14ac:dyDescent="0.3">
      <c r="A23" s="330"/>
      <c r="B23" s="330"/>
      <c r="C23" s="163"/>
      <c r="D23" s="330"/>
      <c r="E23" s="330"/>
      <c r="F23" s="393"/>
      <c r="G23" s="330"/>
      <c r="H23" s="333"/>
      <c r="I23" s="330"/>
    </row>
    <row r="24" spans="1:9" x14ac:dyDescent="0.3">
      <c r="A24" s="330"/>
      <c r="B24" s="330"/>
      <c r="C24" s="433"/>
      <c r="D24" s="330"/>
      <c r="E24" s="433"/>
      <c r="F24" s="330"/>
      <c r="G24" s="330"/>
      <c r="H24" s="330"/>
      <c r="I24" s="330"/>
    </row>
    <row r="25" spans="1:9" x14ac:dyDescent="0.3">
      <c r="A25" s="330"/>
      <c r="B25" s="330"/>
      <c r="C25" s="330"/>
      <c r="D25" s="330"/>
      <c r="E25" s="330"/>
      <c r="F25" s="330"/>
      <c r="G25" s="330"/>
      <c r="H25" s="330"/>
      <c r="I25" s="330"/>
    </row>
    <row r="26" spans="1:9" x14ac:dyDescent="0.3">
      <c r="A26" s="330"/>
      <c r="B26" s="330"/>
      <c r="C26" s="330"/>
      <c r="D26" s="330"/>
      <c r="E26" s="330"/>
      <c r="F26" s="330"/>
      <c r="G26" s="330"/>
      <c r="H26" s="330"/>
      <c r="I26" s="330"/>
    </row>
    <row r="27" spans="1:9" x14ac:dyDescent="0.3">
      <c r="A27" s="330"/>
      <c r="B27" s="330"/>
      <c r="C27" s="393"/>
      <c r="D27" s="330"/>
      <c r="E27" s="330"/>
      <c r="F27" s="393"/>
      <c r="G27" s="330"/>
      <c r="H27" s="330"/>
      <c r="I27" s="330"/>
    </row>
    <row r="28" spans="1:9" x14ac:dyDescent="0.3">
      <c r="A28" s="330"/>
      <c r="B28" s="330"/>
      <c r="C28" s="393"/>
      <c r="D28" s="330"/>
      <c r="E28" s="330"/>
      <c r="F28" s="393"/>
      <c r="G28" s="330"/>
      <c r="H28" s="330"/>
      <c r="I28" s="330"/>
    </row>
    <row r="29" spans="1:9" x14ac:dyDescent="0.3">
      <c r="A29" s="330"/>
      <c r="B29" s="330"/>
      <c r="C29" s="393"/>
      <c r="D29" s="330"/>
      <c r="E29" s="330"/>
      <c r="F29" s="393"/>
      <c r="G29" s="330"/>
      <c r="H29" s="330"/>
      <c r="I29" s="330"/>
    </row>
    <row r="30" spans="1:9" x14ac:dyDescent="0.3">
      <c r="A30" s="330"/>
      <c r="B30" s="330"/>
      <c r="C30" s="393"/>
      <c r="D30" s="330"/>
      <c r="E30" s="330"/>
      <c r="F30" s="393"/>
      <c r="G30" s="330"/>
      <c r="H30" s="330"/>
      <c r="I30" s="330"/>
    </row>
    <row r="31" spans="1:9" x14ac:dyDescent="0.3">
      <c r="A31" s="330"/>
      <c r="B31" s="330"/>
      <c r="C31" s="393"/>
      <c r="D31" s="330"/>
      <c r="E31" s="330"/>
      <c r="F31" s="393"/>
      <c r="G31" s="330"/>
      <c r="H31" s="330"/>
      <c r="I31" s="330"/>
    </row>
    <row r="32" spans="1:9" x14ac:dyDescent="0.3">
      <c r="A32" s="330"/>
      <c r="B32" s="330"/>
      <c r="C32" s="393"/>
      <c r="D32" s="330"/>
      <c r="E32" s="330"/>
      <c r="F32" s="330"/>
      <c r="G32" s="330"/>
      <c r="H32" s="330"/>
      <c r="I32" s="330"/>
    </row>
    <row r="33" spans="1:9" x14ac:dyDescent="0.3">
      <c r="A33" s="330"/>
      <c r="B33" s="330"/>
      <c r="C33" s="330"/>
      <c r="D33" s="330"/>
      <c r="E33" s="330"/>
      <c r="F33" s="393"/>
      <c r="G33" s="330"/>
      <c r="H33" s="330"/>
      <c r="I33" s="330"/>
    </row>
    <row r="34" spans="1:9" x14ac:dyDescent="0.3">
      <c r="A34" s="330"/>
      <c r="B34" s="330"/>
      <c r="C34" s="393"/>
      <c r="D34" s="330"/>
      <c r="E34" s="330"/>
      <c r="F34" s="330"/>
      <c r="G34" s="330"/>
      <c r="H34" s="330"/>
      <c r="I34" s="330"/>
    </row>
    <row r="35" spans="1:9" x14ac:dyDescent="0.3">
      <c r="B35" s="44"/>
    </row>
    <row r="36" spans="1:9" x14ac:dyDescent="0.3">
      <c r="B36" s="44"/>
    </row>
    <row r="37" spans="1:9" x14ac:dyDescent="0.3">
      <c r="B37" s="44"/>
    </row>
    <row r="38" spans="1:9" x14ac:dyDescent="0.3">
      <c r="B38" s="44"/>
    </row>
    <row r="39" spans="1:9" x14ac:dyDescent="0.3">
      <c r="B39" s="44"/>
    </row>
    <row r="40" spans="1:9" x14ac:dyDescent="0.3">
      <c r="B40" s="44"/>
    </row>
    <row r="41" spans="1:9" x14ac:dyDescent="0.3">
      <c r="B41" s="44"/>
    </row>
    <row r="42" spans="1:9" x14ac:dyDescent="0.3">
      <c r="B42" s="44"/>
    </row>
    <row r="43" spans="1:9" x14ac:dyDescent="0.3">
      <c r="B43" s="44"/>
    </row>
    <row r="44" spans="1:9" x14ac:dyDescent="0.3">
      <c r="B44" s="44"/>
    </row>
    <row r="45" spans="1:9" x14ac:dyDescent="0.3">
      <c r="B45" s="44"/>
    </row>
    <row r="46" spans="1:9" x14ac:dyDescent="0.3">
      <c r="B46" s="44"/>
    </row>
    <row r="47" spans="1:9" x14ac:dyDescent="0.3">
      <c r="B47" s="44"/>
    </row>
    <row r="48" spans="1:9" x14ac:dyDescent="0.3">
      <c r="B48" s="44"/>
    </row>
    <row r="49" spans="2:2" x14ac:dyDescent="0.3">
      <c r="B49" s="44"/>
    </row>
    <row r="50" spans="2:2" x14ac:dyDescent="0.3">
      <c r="B50" s="44"/>
    </row>
    <row r="51" spans="2:2" x14ac:dyDescent="0.3">
      <c r="B51" s="44"/>
    </row>
    <row r="52" spans="2:2" x14ac:dyDescent="0.3">
      <c r="B52" s="44"/>
    </row>
    <row r="53" spans="2:2" x14ac:dyDescent="0.3">
      <c r="B53" s="396"/>
    </row>
    <row r="54" spans="2:2" x14ac:dyDescent="0.3">
      <c r="B54" s="44"/>
    </row>
    <row r="55" spans="2:2" x14ac:dyDescent="0.3">
      <c r="B55" s="44"/>
    </row>
    <row r="56" spans="2:2" x14ac:dyDescent="0.3">
      <c r="B56" s="44"/>
    </row>
    <row r="57" spans="2:2" x14ac:dyDescent="0.3">
      <c r="B57" s="44"/>
    </row>
    <row r="58" spans="2:2" x14ac:dyDescent="0.3">
      <c r="B58" s="44"/>
    </row>
    <row r="59" spans="2:2" x14ac:dyDescent="0.3">
      <c r="B59" s="44"/>
    </row>
    <row r="60" spans="2:2" x14ac:dyDescent="0.3">
      <c r="B60" s="44"/>
    </row>
    <row r="61" spans="2:2" x14ac:dyDescent="0.3">
      <c r="B61" s="44"/>
    </row>
    <row r="62" spans="2:2" x14ac:dyDescent="0.3">
      <c r="B62" s="44"/>
    </row>
    <row r="63" spans="2:2" x14ac:dyDescent="0.3">
      <c r="B63" s="44"/>
    </row>
    <row r="64" spans="2:2" x14ac:dyDescent="0.3">
      <c r="B64" s="44"/>
    </row>
    <row r="65" spans="2:2" x14ac:dyDescent="0.3">
      <c r="B65" s="44"/>
    </row>
    <row r="66" spans="2:2" x14ac:dyDescent="0.3">
      <c r="B66" s="44"/>
    </row>
    <row r="67" spans="2:2" x14ac:dyDescent="0.3">
      <c r="B67" s="44"/>
    </row>
    <row r="68" spans="2:2" x14ac:dyDescent="0.3">
      <c r="B68" s="47"/>
    </row>
    <row r="69" spans="2:2" x14ac:dyDescent="0.3">
      <c r="B69" s="47"/>
    </row>
    <row r="70" spans="2:2" x14ac:dyDescent="0.3">
      <c r="B70" s="47"/>
    </row>
    <row r="71" spans="2:2" x14ac:dyDescent="0.3">
      <c r="B71" s="47"/>
    </row>
    <row r="72" spans="2:2" x14ac:dyDescent="0.3">
      <c r="B72" s="47"/>
    </row>
    <row r="73" spans="2:2" x14ac:dyDescent="0.3">
      <c r="B73" s="47"/>
    </row>
    <row r="74" spans="2:2" x14ac:dyDescent="0.3">
      <c r="B74" s="47"/>
    </row>
    <row r="75" spans="2:2" x14ac:dyDescent="0.3">
      <c r="B75" s="47"/>
    </row>
    <row r="76" spans="2:2" x14ac:dyDescent="0.3">
      <c r="B76" s="47"/>
    </row>
    <row r="77" spans="2:2" x14ac:dyDescent="0.3">
      <c r="B77" s="47"/>
    </row>
    <row r="78" spans="2:2" x14ac:dyDescent="0.3">
      <c r="B78" s="47"/>
    </row>
    <row r="79" spans="2:2" x14ac:dyDescent="0.3">
      <c r="B79" s="47"/>
    </row>
    <row r="80" spans="2:2" x14ac:dyDescent="0.3">
      <c r="B80" s="47"/>
    </row>
    <row r="81" spans="2:2" x14ac:dyDescent="0.3">
      <c r="B81" s="47"/>
    </row>
    <row r="82" spans="2:2" x14ac:dyDescent="0.3">
      <c r="B82" s="47"/>
    </row>
    <row r="83" spans="2:2" x14ac:dyDescent="0.3">
      <c r="B83" s="47"/>
    </row>
    <row r="84" spans="2:2" x14ac:dyDescent="0.3">
      <c r="B84" s="47"/>
    </row>
    <row r="85" spans="2:2" x14ac:dyDescent="0.3">
      <c r="B85" s="47"/>
    </row>
    <row r="86" spans="2:2" x14ac:dyDescent="0.3">
      <c r="B86" s="47"/>
    </row>
    <row r="87" spans="2:2" x14ac:dyDescent="0.3">
      <c r="B87" s="47"/>
    </row>
    <row r="88" spans="2:2" x14ac:dyDescent="0.3">
      <c r="B88" s="47"/>
    </row>
    <row r="89" spans="2:2" x14ac:dyDescent="0.3">
      <c r="B89" s="47"/>
    </row>
    <row r="90" spans="2:2" x14ac:dyDescent="0.3">
      <c r="B90" s="47"/>
    </row>
    <row r="91" spans="2:2" x14ac:dyDescent="0.3">
      <c r="B91" s="47"/>
    </row>
    <row r="92" spans="2:2" x14ac:dyDescent="0.3">
      <c r="B92" s="47"/>
    </row>
    <row r="93" spans="2:2" x14ac:dyDescent="0.3">
      <c r="B93" s="47"/>
    </row>
    <row r="94" spans="2:2" x14ac:dyDescent="0.3">
      <c r="B94" s="47"/>
    </row>
    <row r="95" spans="2:2" x14ac:dyDescent="0.3">
      <c r="B95" s="47"/>
    </row>
    <row r="96" spans="2:2" x14ac:dyDescent="0.3">
      <c r="B96" s="47"/>
    </row>
    <row r="97" spans="2:2" ht="16.8" x14ac:dyDescent="0.3">
      <c r="B97" s="125"/>
    </row>
    <row r="98" spans="2:2" x14ac:dyDescent="0.3">
      <c r="B98" s="47"/>
    </row>
    <row r="99" spans="2:2" x14ac:dyDescent="0.3">
      <c r="B99" s="47"/>
    </row>
    <row r="100" spans="2:2" x14ac:dyDescent="0.3">
      <c r="B100" s="47"/>
    </row>
    <row r="101" spans="2:2" ht="16.8" x14ac:dyDescent="0.3">
      <c r="B101" s="125"/>
    </row>
    <row r="102" spans="2:2" x14ac:dyDescent="0.3">
      <c r="B102" s="47"/>
    </row>
    <row r="103" spans="2:2" x14ac:dyDescent="0.3">
      <c r="B103" s="47"/>
    </row>
    <row r="104" spans="2:2" x14ac:dyDescent="0.3">
      <c r="B104" s="47"/>
    </row>
    <row r="105" spans="2:2" x14ac:dyDescent="0.3">
      <c r="B105" s="47"/>
    </row>
    <row r="106" spans="2:2" x14ac:dyDescent="0.3">
      <c r="B106" s="179"/>
    </row>
    <row r="107" spans="2:2" x14ac:dyDescent="0.3">
      <c r="B107" s="194" t="s">
        <v>297</v>
      </c>
    </row>
    <row r="108" spans="2:2" x14ac:dyDescent="0.3">
      <c r="B108" s="194" t="s">
        <v>292</v>
      </c>
    </row>
    <row r="109" spans="2:2" x14ac:dyDescent="0.3">
      <c r="B109" s="194" t="s">
        <v>293</v>
      </c>
    </row>
    <row r="110" spans="2:2" x14ac:dyDescent="0.3">
      <c r="B110" s="47"/>
    </row>
    <row r="111" spans="2:2" x14ac:dyDescent="0.3">
      <c r="B111" s="194" t="s">
        <v>294</v>
      </c>
    </row>
    <row r="112" spans="2:2" x14ac:dyDescent="0.3">
      <c r="B112" s="194"/>
    </row>
    <row r="113" spans="2:2" x14ac:dyDescent="0.3">
      <c r="B113" s="47"/>
    </row>
    <row r="114" spans="2:2" ht="16.8" x14ac:dyDescent="0.3">
      <c r="B114" s="125"/>
    </row>
    <row r="115" spans="2:2" x14ac:dyDescent="0.3">
      <c r="B115" s="275"/>
    </row>
    <row r="116" spans="2:2" x14ac:dyDescent="0.3">
      <c r="B116" s="47"/>
    </row>
    <row r="117" spans="2:2" x14ac:dyDescent="0.3">
      <c r="B117" s="47"/>
    </row>
    <row r="118" spans="2:2" x14ac:dyDescent="0.3">
      <c r="B118" s="47"/>
    </row>
    <row r="119" spans="2:2" x14ac:dyDescent="0.3">
      <c r="B119" s="194"/>
    </row>
    <row r="120" spans="2:2" x14ac:dyDescent="0.3">
      <c r="B120" s="47"/>
    </row>
    <row r="121" spans="2:2" x14ac:dyDescent="0.3">
      <c r="B121" s="365"/>
    </row>
    <row r="122" spans="2:2" x14ac:dyDescent="0.3">
      <c r="B122" s="365"/>
    </row>
    <row r="123" spans="2:2" x14ac:dyDescent="0.3">
      <c r="B123" s="365"/>
    </row>
    <row r="124" spans="2:2" x14ac:dyDescent="0.3">
      <c r="B124" s="365"/>
    </row>
    <row r="125" spans="2:2" x14ac:dyDescent="0.3">
      <c r="B125" s="365"/>
    </row>
    <row r="126" spans="2:2" x14ac:dyDescent="0.3">
      <c r="B126" s="47"/>
    </row>
    <row r="127" spans="2:2" x14ac:dyDescent="0.3">
      <c r="B127" s="47"/>
    </row>
    <row r="128" spans="2:2" x14ac:dyDescent="0.3">
      <c r="B128" s="47"/>
    </row>
    <row r="129" spans="2:2" x14ac:dyDescent="0.3">
      <c r="B129" s="47"/>
    </row>
    <row r="130" spans="2:2" x14ac:dyDescent="0.3">
      <c r="B130" s="47"/>
    </row>
    <row r="131" spans="2:2" x14ac:dyDescent="0.3">
      <c r="B131" s="47"/>
    </row>
    <row r="132" spans="2:2" x14ac:dyDescent="0.3">
      <c r="B132" s="47"/>
    </row>
    <row r="133" spans="2:2" x14ac:dyDescent="0.3">
      <c r="B133" s="47"/>
    </row>
    <row r="134" spans="2:2" x14ac:dyDescent="0.3">
      <c r="B134" s="47"/>
    </row>
    <row r="135" spans="2:2" x14ac:dyDescent="0.3">
      <c r="B135" s="47"/>
    </row>
    <row r="136" spans="2:2" x14ac:dyDescent="0.3">
      <c r="B136" s="47"/>
    </row>
    <row r="137" spans="2:2" x14ac:dyDescent="0.3">
      <c r="B137" s="47"/>
    </row>
    <row r="138" spans="2:2" x14ac:dyDescent="0.3">
      <c r="B138" s="365"/>
    </row>
    <row r="139" spans="2:2" x14ac:dyDescent="0.3">
      <c r="B139" s="365"/>
    </row>
    <row r="140" spans="2:2" x14ac:dyDescent="0.3">
      <c r="B140" s="365"/>
    </row>
    <row r="141" spans="2:2" x14ac:dyDescent="0.3">
      <c r="B141" s="365"/>
    </row>
    <row r="142" spans="2:2" x14ac:dyDescent="0.3">
      <c r="B142" s="47"/>
    </row>
    <row r="143" spans="2:2" x14ac:dyDescent="0.3">
      <c r="B143" s="194" t="s">
        <v>295</v>
      </c>
    </row>
    <row r="144" spans="2:2" x14ac:dyDescent="0.3">
      <c r="B144" s="194" t="s">
        <v>296</v>
      </c>
    </row>
    <row r="145" spans="2:2" x14ac:dyDescent="0.3">
      <c r="B145" s="47"/>
    </row>
    <row r="146" spans="2:2" x14ac:dyDescent="0.3">
      <c r="B146" s="47"/>
    </row>
    <row r="147" spans="2:2" ht="16.8" x14ac:dyDescent="0.3">
      <c r="B147" s="125"/>
    </row>
    <row r="148" spans="2:2" x14ac:dyDescent="0.3">
      <c r="B148" s="47"/>
    </row>
    <row r="149" spans="2:2" x14ac:dyDescent="0.3">
      <c r="B149" s="47"/>
    </row>
    <row r="150" spans="2:2" x14ac:dyDescent="0.3">
      <c r="B150" s="47"/>
    </row>
    <row r="151" spans="2:2" ht="16.8" x14ac:dyDescent="0.3">
      <c r="B151" s="125"/>
    </row>
    <row r="152" spans="2:2" x14ac:dyDescent="0.3">
      <c r="B152" s="47"/>
    </row>
    <row r="153" spans="2:2" x14ac:dyDescent="0.3">
      <c r="B153" s="47"/>
    </row>
    <row r="154" spans="2:2" ht="16.8" x14ac:dyDescent="0.3">
      <c r="B154" s="125"/>
    </row>
    <row r="155" spans="2:2" x14ac:dyDescent="0.3">
      <c r="B155" s="275"/>
    </row>
    <row r="156" spans="2:2" x14ac:dyDescent="0.3">
      <c r="B156" s="47"/>
    </row>
    <row r="157" spans="2:2" x14ac:dyDescent="0.3">
      <c r="B157" s="47"/>
    </row>
    <row r="158" spans="2:2" x14ac:dyDescent="0.3">
      <c r="B158" s="47"/>
    </row>
    <row r="159" spans="2:2" x14ac:dyDescent="0.3">
      <c r="B159" s="47"/>
    </row>
    <row r="160" spans="2:2" x14ac:dyDescent="0.3">
      <c r="B160" s="365"/>
    </row>
    <row r="161" spans="2:2" x14ac:dyDescent="0.3">
      <c r="B161" s="365"/>
    </row>
    <row r="162" spans="2:2" x14ac:dyDescent="0.3">
      <c r="B162" s="365"/>
    </row>
    <row r="163" spans="2:2" x14ac:dyDescent="0.3">
      <c r="B163" s="365"/>
    </row>
    <row r="164" spans="2:2" x14ac:dyDescent="0.3">
      <c r="B164" s="47"/>
    </row>
    <row r="165" spans="2:2" x14ac:dyDescent="0.3">
      <c r="B165" s="47"/>
    </row>
    <row r="166" spans="2:2" x14ac:dyDescent="0.3">
      <c r="B166" s="47"/>
    </row>
    <row r="167" spans="2:2" x14ac:dyDescent="0.3">
      <c r="B167" s="47"/>
    </row>
    <row r="168" spans="2:2" x14ac:dyDescent="0.3">
      <c r="B168" s="47"/>
    </row>
    <row r="169" spans="2:2" x14ac:dyDescent="0.3">
      <c r="B169" s="47"/>
    </row>
    <row r="170" spans="2:2" x14ac:dyDescent="0.3">
      <c r="B170" s="365"/>
    </row>
    <row r="171" spans="2:2" x14ac:dyDescent="0.3">
      <c r="B171" s="365"/>
    </row>
    <row r="172" spans="2:2" x14ac:dyDescent="0.3">
      <c r="B172" s="365"/>
    </row>
    <row r="173" spans="2:2" x14ac:dyDescent="0.3">
      <c r="B173" s="365"/>
    </row>
    <row r="174" spans="2:2" x14ac:dyDescent="0.3">
      <c r="B174" s="47"/>
    </row>
    <row r="175" spans="2:2" x14ac:dyDescent="0.3">
      <c r="B175" s="194" t="s">
        <v>298</v>
      </c>
    </row>
    <row r="176" spans="2:2" x14ac:dyDescent="0.3">
      <c r="B176" s="194" t="s">
        <v>299</v>
      </c>
    </row>
    <row r="177" spans="2:2" x14ac:dyDescent="0.3">
      <c r="B177" s="47"/>
    </row>
    <row r="178" spans="2:2" x14ac:dyDescent="0.3">
      <c r="B178" s="47"/>
    </row>
    <row r="179" spans="2:2" x14ac:dyDescent="0.3">
      <c r="B179" s="47"/>
    </row>
    <row r="180" spans="2:2" x14ac:dyDescent="0.3">
      <c r="B180" s="47" t="s">
        <v>307</v>
      </c>
    </row>
    <row r="181" spans="2:2" x14ac:dyDescent="0.3">
      <c r="B181" s="47" t="s">
        <v>305</v>
      </c>
    </row>
    <row r="182" spans="2:2" x14ac:dyDescent="0.3">
      <c r="B182" s="47"/>
    </row>
    <row r="183" spans="2:2" x14ac:dyDescent="0.3">
      <c r="B183" s="47"/>
    </row>
    <row r="184" spans="2:2" x14ac:dyDescent="0.3">
      <c r="B184" s="194"/>
    </row>
    <row r="185" spans="2:2" x14ac:dyDescent="0.3">
      <c r="B185" s="47"/>
    </row>
    <row r="186" spans="2:2" x14ac:dyDescent="0.3">
      <c r="B186" s="179"/>
    </row>
    <row r="187" spans="2:2" x14ac:dyDescent="0.3">
      <c r="B187" s="179"/>
    </row>
    <row r="188" spans="2:2" x14ac:dyDescent="0.3">
      <c r="B188" s="179"/>
    </row>
    <row r="189" spans="2:2" x14ac:dyDescent="0.3">
      <c r="B189" s="47"/>
    </row>
    <row r="190" spans="2:2" x14ac:dyDescent="0.3">
      <c r="B190" s="365"/>
    </row>
    <row r="191" spans="2:2" x14ac:dyDescent="0.3">
      <c r="B191" s="365"/>
    </row>
    <row r="192" spans="2:2" x14ac:dyDescent="0.3">
      <c r="B192" s="365"/>
    </row>
    <row r="193" spans="2:2" x14ac:dyDescent="0.3">
      <c r="B193" s="365"/>
    </row>
    <row r="194" spans="2:2" x14ac:dyDescent="0.3">
      <c r="B194" s="365"/>
    </row>
    <row r="195" spans="2:2" x14ac:dyDescent="0.3">
      <c r="B195" s="47"/>
    </row>
    <row r="196" spans="2:2" x14ac:dyDescent="0.3">
      <c r="B196" s="47"/>
    </row>
    <row r="197" spans="2:2" x14ac:dyDescent="0.3">
      <c r="B197" s="47"/>
    </row>
    <row r="198" spans="2:2" x14ac:dyDescent="0.3">
      <c r="B198" s="47"/>
    </row>
    <row r="199" spans="2:2" x14ac:dyDescent="0.3">
      <c r="B199" s="47"/>
    </row>
    <row r="200" spans="2:2" x14ac:dyDescent="0.3">
      <c r="B200" s="47"/>
    </row>
    <row r="201" spans="2:2" x14ac:dyDescent="0.3">
      <c r="B201" s="47"/>
    </row>
    <row r="202" spans="2:2" x14ac:dyDescent="0.3">
      <c r="B202" s="47"/>
    </row>
    <row r="203" spans="2:2" x14ac:dyDescent="0.3">
      <c r="B203" s="179"/>
    </row>
    <row r="204" spans="2:2" x14ac:dyDescent="0.3">
      <c r="B204" s="47"/>
    </row>
    <row r="205" spans="2:2" x14ac:dyDescent="0.3">
      <c r="B205" s="47"/>
    </row>
    <row r="206" spans="2:2" x14ac:dyDescent="0.3">
      <c r="B206" s="47"/>
    </row>
    <row r="207" spans="2:2" x14ac:dyDescent="0.3">
      <c r="B207" s="47"/>
    </row>
    <row r="208" spans="2:2" x14ac:dyDescent="0.3">
      <c r="B208" s="179"/>
    </row>
    <row r="209" spans="2:2" x14ac:dyDescent="0.3">
      <c r="B209" s="179"/>
    </row>
    <row r="210" spans="2:2" x14ac:dyDescent="0.3">
      <c r="B210" s="179"/>
    </row>
    <row r="211" spans="2:2" x14ac:dyDescent="0.3">
      <c r="B211" s="47"/>
    </row>
    <row r="212" spans="2:2" x14ac:dyDescent="0.3">
      <c r="B212" s="47"/>
    </row>
    <row r="213" spans="2:2" x14ac:dyDescent="0.3">
      <c r="B213" s="179"/>
    </row>
    <row r="214" spans="2:2" x14ac:dyDescent="0.3">
      <c r="B214" s="179"/>
    </row>
    <row r="215" spans="2:2" x14ac:dyDescent="0.3">
      <c r="B215" s="47"/>
    </row>
    <row r="216" spans="2:2" x14ac:dyDescent="0.3">
      <c r="B216" s="47"/>
    </row>
    <row r="217" spans="2:2" x14ac:dyDescent="0.3">
      <c r="B217" s="179"/>
    </row>
    <row r="218" spans="2:2" x14ac:dyDescent="0.3">
      <c r="B218" s="47"/>
    </row>
    <row r="219" spans="2:2" x14ac:dyDescent="0.3">
      <c r="B219" s="47"/>
    </row>
    <row r="220" spans="2:2" x14ac:dyDescent="0.3">
      <c r="B220" s="179"/>
    </row>
    <row r="221" spans="2:2" x14ac:dyDescent="0.3">
      <c r="B221" s="179"/>
    </row>
    <row r="222" spans="2:2" x14ac:dyDescent="0.3">
      <c r="B222" s="47"/>
    </row>
    <row r="223" spans="2:2" x14ac:dyDescent="0.3">
      <c r="B223" s="47"/>
    </row>
    <row r="224" spans="2:2" x14ac:dyDescent="0.3">
      <c r="B224" s="47"/>
    </row>
    <row r="225" spans="2:2" x14ac:dyDescent="0.3">
      <c r="B225" s="47"/>
    </row>
    <row r="226" spans="2:2" ht="16.8" x14ac:dyDescent="0.3">
      <c r="B226" s="125"/>
    </row>
    <row r="227" spans="2:2" x14ac:dyDescent="0.3">
      <c r="B227" s="47"/>
    </row>
    <row r="228" spans="2:2" x14ac:dyDescent="0.3">
      <c r="B228" s="47"/>
    </row>
    <row r="229" spans="2:2" x14ac:dyDescent="0.3">
      <c r="B229" s="47"/>
    </row>
    <row r="230" spans="2:2" x14ac:dyDescent="0.3">
      <c r="B230" s="47"/>
    </row>
    <row r="231" spans="2:2" x14ac:dyDescent="0.3">
      <c r="B231" s="47"/>
    </row>
    <row r="232" spans="2:2" x14ac:dyDescent="0.3">
      <c r="B232" s="47"/>
    </row>
    <row r="233" spans="2:2" x14ac:dyDescent="0.3">
      <c r="B233" s="47"/>
    </row>
    <row r="234" spans="2:2" x14ac:dyDescent="0.3">
      <c r="B234" s="47"/>
    </row>
    <row r="235" spans="2:2" x14ac:dyDescent="0.3">
      <c r="B235" s="47"/>
    </row>
    <row r="236" spans="2:2" x14ac:dyDescent="0.3">
      <c r="B236" s="47"/>
    </row>
    <row r="237" spans="2:2" x14ac:dyDescent="0.3">
      <c r="B237" s="47"/>
    </row>
    <row r="238" spans="2:2" x14ac:dyDescent="0.3">
      <c r="B238" s="47"/>
    </row>
    <row r="239" spans="2:2" x14ac:dyDescent="0.3">
      <c r="B239" s="47"/>
    </row>
    <row r="240" spans="2:2" x14ac:dyDescent="0.3">
      <c r="B240" s="47"/>
    </row>
    <row r="241" spans="2:2" ht="16.8" x14ac:dyDescent="0.3">
      <c r="B241" s="125"/>
    </row>
    <row r="242" spans="2:2" x14ac:dyDescent="0.3">
      <c r="B242" s="47"/>
    </row>
    <row r="243" spans="2:2" x14ac:dyDescent="0.3">
      <c r="B243" s="47"/>
    </row>
    <row r="244" spans="2:2" x14ac:dyDescent="0.3">
      <c r="B244" s="47"/>
    </row>
    <row r="245" spans="2:2" x14ac:dyDescent="0.3">
      <c r="B245" s="47"/>
    </row>
    <row r="246" spans="2:2" x14ac:dyDescent="0.3">
      <c r="B246" s="47"/>
    </row>
    <row r="247" spans="2:2" x14ac:dyDescent="0.3">
      <c r="B247" s="47"/>
    </row>
    <row r="248" spans="2:2" x14ac:dyDescent="0.3">
      <c r="B248" s="47"/>
    </row>
    <row r="249" spans="2:2" x14ac:dyDescent="0.3">
      <c r="B249" s="47"/>
    </row>
    <row r="250" spans="2:2" x14ac:dyDescent="0.3">
      <c r="B250" s="47"/>
    </row>
    <row r="251" spans="2:2" x14ac:dyDescent="0.3">
      <c r="B251" s="47"/>
    </row>
    <row r="252" spans="2:2" x14ac:dyDescent="0.3">
      <c r="B252" s="47"/>
    </row>
    <row r="253" spans="2:2" x14ac:dyDescent="0.3">
      <c r="B253" s="47"/>
    </row>
    <row r="254" spans="2:2" x14ac:dyDescent="0.3">
      <c r="B254" s="47"/>
    </row>
    <row r="255" spans="2:2" x14ac:dyDescent="0.3">
      <c r="B255" s="47"/>
    </row>
    <row r="256" spans="2:2" x14ac:dyDescent="0.3">
      <c r="B256" s="47"/>
    </row>
    <row r="257" spans="2:2" x14ac:dyDescent="0.3">
      <c r="B257" s="47"/>
    </row>
    <row r="258" spans="2:2" x14ac:dyDescent="0.3">
      <c r="B258" s="47"/>
    </row>
    <row r="259" spans="2:2" x14ac:dyDescent="0.3">
      <c r="B259" s="47"/>
    </row>
    <row r="260" spans="2:2" x14ac:dyDescent="0.3">
      <c r="B260" s="47"/>
    </row>
    <row r="261" spans="2:2" x14ac:dyDescent="0.3">
      <c r="B261" s="47"/>
    </row>
    <row r="262" spans="2:2" x14ac:dyDescent="0.3">
      <c r="B262" s="47"/>
    </row>
    <row r="263" spans="2:2" x14ac:dyDescent="0.3">
      <c r="B263" s="47"/>
    </row>
    <row r="264" spans="2:2" x14ac:dyDescent="0.3">
      <c r="B264" s="47"/>
    </row>
    <row r="265" spans="2:2" x14ac:dyDescent="0.3">
      <c r="B265" s="47"/>
    </row>
    <row r="266" spans="2:2" x14ac:dyDescent="0.3">
      <c r="B266" s="47"/>
    </row>
    <row r="267" spans="2:2" x14ac:dyDescent="0.3">
      <c r="B267" s="47"/>
    </row>
    <row r="268" spans="2:2" x14ac:dyDescent="0.3">
      <c r="B268" s="47"/>
    </row>
    <row r="269" spans="2:2" x14ac:dyDescent="0.3">
      <c r="B269" s="47"/>
    </row>
    <row r="270" spans="2:2" x14ac:dyDescent="0.3">
      <c r="B270" s="47"/>
    </row>
    <row r="271" spans="2:2" x14ac:dyDescent="0.3">
      <c r="B271" s="47"/>
    </row>
    <row r="272" spans="2:2" x14ac:dyDescent="0.3">
      <c r="B272" s="47"/>
    </row>
    <row r="273" spans="2:2" x14ac:dyDescent="0.3">
      <c r="B273" s="47"/>
    </row>
    <row r="274" spans="2:2" x14ac:dyDescent="0.3">
      <c r="B274" s="47"/>
    </row>
    <row r="275" spans="2:2" x14ac:dyDescent="0.3">
      <c r="B275" s="47"/>
    </row>
    <row r="276" spans="2:2" x14ac:dyDescent="0.3">
      <c r="B276" s="47"/>
    </row>
    <row r="277" spans="2:2" x14ac:dyDescent="0.3">
      <c r="B277" s="47"/>
    </row>
    <row r="278" spans="2:2" x14ac:dyDescent="0.3">
      <c r="B278" s="47"/>
    </row>
    <row r="279" spans="2:2" x14ac:dyDescent="0.3">
      <c r="B279" s="47"/>
    </row>
    <row r="280" spans="2:2" x14ac:dyDescent="0.3">
      <c r="B280" s="47"/>
    </row>
    <row r="281" spans="2:2" x14ac:dyDescent="0.3">
      <c r="B281" s="47"/>
    </row>
    <row r="282" spans="2:2" x14ac:dyDescent="0.3">
      <c r="B282" s="47"/>
    </row>
    <row r="283" spans="2:2" x14ac:dyDescent="0.3">
      <c r="B283" s="47"/>
    </row>
    <row r="284" spans="2:2" x14ac:dyDescent="0.3">
      <c r="B284" s="47"/>
    </row>
    <row r="285" spans="2:2" x14ac:dyDescent="0.3">
      <c r="B285" s="47"/>
    </row>
    <row r="286" spans="2:2" x14ac:dyDescent="0.3">
      <c r="B286" s="47"/>
    </row>
    <row r="287" spans="2:2" x14ac:dyDescent="0.3">
      <c r="B287" s="47"/>
    </row>
    <row r="288" spans="2:2" x14ac:dyDescent="0.3">
      <c r="B288" s="47"/>
    </row>
    <row r="289" spans="2:2" x14ac:dyDescent="0.3">
      <c r="B289" s="47"/>
    </row>
    <row r="290" spans="2:2" x14ac:dyDescent="0.3">
      <c r="B290" s="47"/>
    </row>
    <row r="291" spans="2:2" x14ac:dyDescent="0.3">
      <c r="B291" s="47"/>
    </row>
    <row r="292" spans="2:2" x14ac:dyDescent="0.3">
      <c r="B292" s="47"/>
    </row>
    <row r="293" spans="2:2" x14ac:dyDescent="0.3">
      <c r="B293" s="47"/>
    </row>
    <row r="294" spans="2:2" x14ac:dyDescent="0.3">
      <c r="B294" s="44"/>
    </row>
    <row r="295" spans="2:2" x14ac:dyDescent="0.3">
      <c r="B295" s="44"/>
    </row>
    <row r="296" spans="2:2" x14ac:dyDescent="0.3">
      <c r="B296" s="44"/>
    </row>
    <row r="297" spans="2:2" x14ac:dyDescent="0.3">
      <c r="B297" s="44"/>
    </row>
    <row r="298" spans="2:2" x14ac:dyDescent="0.3">
      <c r="B298" s="44"/>
    </row>
    <row r="299" spans="2:2" x14ac:dyDescent="0.3">
      <c r="B299" s="44"/>
    </row>
    <row r="300" spans="2:2" x14ac:dyDescent="0.3">
      <c r="B300" s="44"/>
    </row>
    <row r="301" spans="2:2" x14ac:dyDescent="0.3">
      <c r="B301" s="44"/>
    </row>
    <row r="302" spans="2:2" x14ac:dyDescent="0.3">
      <c r="B302" s="44"/>
    </row>
    <row r="303" spans="2:2" x14ac:dyDescent="0.3">
      <c r="B303" s="44"/>
    </row>
    <row r="304" spans="2:2" x14ac:dyDescent="0.3">
      <c r="B304" s="44"/>
    </row>
    <row r="305" spans="2:2" x14ac:dyDescent="0.3">
      <c r="B305" s="44"/>
    </row>
    <row r="306" spans="2:2" x14ac:dyDescent="0.3">
      <c r="B306" s="44"/>
    </row>
    <row r="307" spans="2:2" x14ac:dyDescent="0.3">
      <c r="B307" s="44"/>
    </row>
    <row r="308" spans="2:2" x14ac:dyDescent="0.3">
      <c r="B308" s="44"/>
    </row>
    <row r="309" spans="2:2" x14ac:dyDescent="0.3">
      <c r="B309" s="44"/>
    </row>
    <row r="310" spans="2:2" x14ac:dyDescent="0.3">
      <c r="B310" s="44"/>
    </row>
    <row r="311" spans="2:2" x14ac:dyDescent="0.3">
      <c r="B311" s="44"/>
    </row>
    <row r="312" spans="2:2" x14ac:dyDescent="0.3">
      <c r="B312" s="44"/>
    </row>
    <row r="313" spans="2:2" x14ac:dyDescent="0.3">
      <c r="B313" s="44"/>
    </row>
    <row r="314" spans="2:2" x14ac:dyDescent="0.3">
      <c r="B314" s="44"/>
    </row>
    <row r="315" spans="2:2" x14ac:dyDescent="0.3">
      <c r="B315" s="44"/>
    </row>
    <row r="316" spans="2:2" x14ac:dyDescent="0.3">
      <c r="B316" s="44"/>
    </row>
    <row r="317" spans="2:2" x14ac:dyDescent="0.3">
      <c r="B317" s="44"/>
    </row>
    <row r="318" spans="2:2" x14ac:dyDescent="0.3">
      <c r="B318" s="44"/>
    </row>
    <row r="319" spans="2:2" x14ac:dyDescent="0.3">
      <c r="B319" s="44"/>
    </row>
    <row r="320" spans="2:2" x14ac:dyDescent="0.3">
      <c r="B320" s="44"/>
    </row>
    <row r="321" spans="2:2" x14ac:dyDescent="0.3">
      <c r="B321" s="44"/>
    </row>
    <row r="322" spans="2:2" x14ac:dyDescent="0.3">
      <c r="B322" s="44"/>
    </row>
    <row r="323" spans="2:2" x14ac:dyDescent="0.3">
      <c r="B323" s="44"/>
    </row>
    <row r="324" spans="2:2" x14ac:dyDescent="0.3">
      <c r="B324" s="44"/>
    </row>
    <row r="325" spans="2:2" x14ac:dyDescent="0.3">
      <c r="B325" s="44"/>
    </row>
    <row r="326" spans="2:2" x14ac:dyDescent="0.3">
      <c r="B326" s="44"/>
    </row>
    <row r="327" spans="2:2" x14ac:dyDescent="0.3">
      <c r="B327" s="44"/>
    </row>
    <row r="328" spans="2:2" x14ac:dyDescent="0.3">
      <c r="B328" s="44"/>
    </row>
    <row r="329" spans="2:2" x14ac:dyDescent="0.3">
      <c r="B329" s="44"/>
    </row>
    <row r="330" spans="2:2" x14ac:dyDescent="0.3">
      <c r="B330" s="44"/>
    </row>
    <row r="331" spans="2:2" x14ac:dyDescent="0.3">
      <c r="B331" s="44"/>
    </row>
    <row r="332" spans="2:2" x14ac:dyDescent="0.3">
      <c r="B332" s="44"/>
    </row>
    <row r="333" spans="2:2" x14ac:dyDescent="0.3">
      <c r="B333" s="44"/>
    </row>
    <row r="334" spans="2:2" x14ac:dyDescent="0.3">
      <c r="B334" s="44"/>
    </row>
    <row r="335" spans="2:2" x14ac:dyDescent="0.3">
      <c r="B335" s="44"/>
    </row>
    <row r="336" spans="2:2" x14ac:dyDescent="0.3">
      <c r="B336" s="44"/>
    </row>
    <row r="337" spans="2:2" x14ac:dyDescent="0.3">
      <c r="B337" s="44"/>
    </row>
    <row r="338" spans="2:2" x14ac:dyDescent="0.3">
      <c r="B338" s="44"/>
    </row>
    <row r="339" spans="2:2" x14ac:dyDescent="0.3">
      <c r="B339" s="44"/>
    </row>
    <row r="340" spans="2:2" x14ac:dyDescent="0.3">
      <c r="B340" s="44"/>
    </row>
    <row r="341" spans="2:2" x14ac:dyDescent="0.3">
      <c r="B341" s="44"/>
    </row>
    <row r="342" spans="2:2" x14ac:dyDescent="0.3">
      <c r="B342" s="44"/>
    </row>
    <row r="343" spans="2:2" x14ac:dyDescent="0.3">
      <c r="B343" s="44"/>
    </row>
    <row r="344" spans="2:2" x14ac:dyDescent="0.3">
      <c r="B344" s="44"/>
    </row>
    <row r="345" spans="2:2" x14ac:dyDescent="0.3">
      <c r="B345" s="44"/>
    </row>
    <row r="346" spans="2:2" x14ac:dyDescent="0.3">
      <c r="B346" s="44"/>
    </row>
    <row r="347" spans="2:2" x14ac:dyDescent="0.3">
      <c r="B347" s="44"/>
    </row>
    <row r="348" spans="2:2" x14ac:dyDescent="0.3">
      <c r="B348" s="44"/>
    </row>
    <row r="349" spans="2:2" x14ac:dyDescent="0.3">
      <c r="B349" s="44"/>
    </row>
    <row r="350" spans="2:2" x14ac:dyDescent="0.3">
      <c r="B350" s="44"/>
    </row>
    <row r="351" spans="2:2" x14ac:dyDescent="0.3">
      <c r="B351" s="44"/>
    </row>
    <row r="352" spans="2:2" x14ac:dyDescent="0.3">
      <c r="B352" s="44"/>
    </row>
    <row r="353" spans="2:2" x14ac:dyDescent="0.3">
      <c r="B353" s="44"/>
    </row>
    <row r="354" spans="2:2" x14ac:dyDescent="0.3">
      <c r="B354" s="44"/>
    </row>
    <row r="355" spans="2:2" x14ac:dyDescent="0.3">
      <c r="B355" s="44"/>
    </row>
    <row r="356" spans="2:2" x14ac:dyDescent="0.3">
      <c r="B356" s="44"/>
    </row>
    <row r="357" spans="2:2" x14ac:dyDescent="0.3">
      <c r="B357" s="44"/>
    </row>
    <row r="358" spans="2:2" x14ac:dyDescent="0.3">
      <c r="B358" s="44"/>
    </row>
    <row r="359" spans="2:2" x14ac:dyDescent="0.3">
      <c r="B359" s="44"/>
    </row>
    <row r="360" spans="2:2" x14ac:dyDescent="0.3">
      <c r="B360" s="44"/>
    </row>
    <row r="361" spans="2:2" x14ac:dyDescent="0.3">
      <c r="B361" s="44"/>
    </row>
    <row r="362" spans="2:2" x14ac:dyDescent="0.3">
      <c r="B362" s="44"/>
    </row>
    <row r="363" spans="2:2" x14ac:dyDescent="0.3">
      <c r="B363" s="44"/>
    </row>
    <row r="364" spans="2:2" x14ac:dyDescent="0.3">
      <c r="B364" s="44"/>
    </row>
    <row r="365" spans="2:2" x14ac:dyDescent="0.3">
      <c r="B365" s="44"/>
    </row>
    <row r="366" spans="2:2" x14ac:dyDescent="0.3">
      <c r="B366" s="44"/>
    </row>
    <row r="367" spans="2:2" x14ac:dyDescent="0.3">
      <c r="B367" s="44"/>
    </row>
    <row r="368" spans="2:2" x14ac:dyDescent="0.3">
      <c r="B368" s="44"/>
    </row>
    <row r="369" spans="2:2" x14ac:dyDescent="0.3">
      <c r="B369" s="44"/>
    </row>
    <row r="370" spans="2:2" x14ac:dyDescent="0.3">
      <c r="B370" s="44"/>
    </row>
    <row r="371" spans="2:2" x14ac:dyDescent="0.3">
      <c r="B371" s="44"/>
    </row>
    <row r="372" spans="2:2" x14ac:dyDescent="0.3">
      <c r="B372" s="44"/>
    </row>
    <row r="373" spans="2:2" x14ac:dyDescent="0.3">
      <c r="B373" s="44"/>
    </row>
    <row r="374" spans="2:2" x14ac:dyDescent="0.3">
      <c r="B374" s="44"/>
    </row>
    <row r="375" spans="2:2" x14ac:dyDescent="0.3">
      <c r="B375" s="44"/>
    </row>
    <row r="376" spans="2:2" x14ac:dyDescent="0.3">
      <c r="B376" s="44"/>
    </row>
    <row r="377" spans="2:2" x14ac:dyDescent="0.3">
      <c r="B377" s="44"/>
    </row>
    <row r="378" spans="2:2" x14ac:dyDescent="0.3">
      <c r="B378" s="44"/>
    </row>
    <row r="379" spans="2:2" x14ac:dyDescent="0.3">
      <c r="B379" s="44"/>
    </row>
    <row r="380" spans="2:2" x14ac:dyDescent="0.3">
      <c r="B380" s="44"/>
    </row>
    <row r="381" spans="2:2" x14ac:dyDescent="0.3">
      <c r="B381" s="44"/>
    </row>
    <row r="382" spans="2:2" x14ac:dyDescent="0.3">
      <c r="B382" s="44"/>
    </row>
    <row r="383" spans="2:2" x14ac:dyDescent="0.3">
      <c r="B383" s="44"/>
    </row>
    <row r="384" spans="2:2" x14ac:dyDescent="0.3">
      <c r="B384" s="44"/>
    </row>
    <row r="385" spans="2:2" x14ac:dyDescent="0.3">
      <c r="B385" s="44"/>
    </row>
    <row r="386" spans="2:2" x14ac:dyDescent="0.3">
      <c r="B386" s="44"/>
    </row>
    <row r="387" spans="2:2" x14ac:dyDescent="0.3">
      <c r="B387" s="44"/>
    </row>
    <row r="388" spans="2:2" x14ac:dyDescent="0.3">
      <c r="B388" s="44"/>
    </row>
    <row r="389" spans="2:2" x14ac:dyDescent="0.3">
      <c r="B389" s="44"/>
    </row>
    <row r="390" spans="2:2" x14ac:dyDescent="0.3">
      <c r="B390" s="44"/>
    </row>
    <row r="391" spans="2:2" x14ac:dyDescent="0.3">
      <c r="B391" s="44"/>
    </row>
    <row r="392" spans="2:2" x14ac:dyDescent="0.3">
      <c r="B392" s="44"/>
    </row>
    <row r="393" spans="2:2" x14ac:dyDescent="0.3">
      <c r="B393" s="44"/>
    </row>
    <row r="394" spans="2:2" x14ac:dyDescent="0.3">
      <c r="B394" s="44"/>
    </row>
    <row r="395" spans="2:2" x14ac:dyDescent="0.3">
      <c r="B395" s="44"/>
    </row>
    <row r="396" spans="2:2" x14ac:dyDescent="0.3">
      <c r="B396" s="44"/>
    </row>
    <row r="397" spans="2:2" x14ac:dyDescent="0.3">
      <c r="B397" s="44"/>
    </row>
    <row r="398" spans="2:2" x14ac:dyDescent="0.3">
      <c r="B398" s="44"/>
    </row>
    <row r="399" spans="2:2" x14ac:dyDescent="0.3">
      <c r="B399" s="44"/>
    </row>
    <row r="400" spans="2:2" x14ac:dyDescent="0.3">
      <c r="B400" s="44"/>
    </row>
    <row r="401" spans="2:2" x14ac:dyDescent="0.3">
      <c r="B401" s="44"/>
    </row>
    <row r="402" spans="2:2" x14ac:dyDescent="0.3">
      <c r="B402" s="44"/>
    </row>
    <row r="403" spans="2:2" x14ac:dyDescent="0.3">
      <c r="B403" s="44"/>
    </row>
    <row r="404" spans="2:2" x14ac:dyDescent="0.3">
      <c r="B404" s="44"/>
    </row>
    <row r="405" spans="2:2" x14ac:dyDescent="0.3">
      <c r="B405" s="44"/>
    </row>
    <row r="406" spans="2:2" x14ac:dyDescent="0.3">
      <c r="B406" s="44"/>
    </row>
    <row r="407" spans="2:2" x14ac:dyDescent="0.3">
      <c r="B407" s="44"/>
    </row>
    <row r="408" spans="2:2" x14ac:dyDescent="0.3">
      <c r="B408" s="44"/>
    </row>
    <row r="409" spans="2:2" x14ac:dyDescent="0.3">
      <c r="B409" s="44"/>
    </row>
    <row r="410" spans="2:2" x14ac:dyDescent="0.3">
      <c r="B410" s="44"/>
    </row>
    <row r="411" spans="2:2" x14ac:dyDescent="0.3">
      <c r="B411" s="44"/>
    </row>
    <row r="412" spans="2:2" x14ac:dyDescent="0.3">
      <c r="B412" s="44"/>
    </row>
    <row r="413" spans="2:2" x14ac:dyDescent="0.3">
      <c r="B413" s="44"/>
    </row>
    <row r="414" spans="2:2" x14ac:dyDescent="0.3">
      <c r="B414" s="44"/>
    </row>
    <row r="415" spans="2:2" x14ac:dyDescent="0.3">
      <c r="B415" s="44"/>
    </row>
    <row r="416" spans="2:2" x14ac:dyDescent="0.3">
      <c r="B416" s="44"/>
    </row>
    <row r="417" spans="2:2" x14ac:dyDescent="0.3">
      <c r="B417" s="44"/>
    </row>
    <row r="418" spans="2:2" x14ac:dyDescent="0.3">
      <c r="B418" s="44"/>
    </row>
    <row r="419" spans="2:2" x14ac:dyDescent="0.3">
      <c r="B419" s="44"/>
    </row>
    <row r="420" spans="2:2" x14ac:dyDescent="0.3">
      <c r="B420" s="44"/>
    </row>
    <row r="421" spans="2:2" x14ac:dyDescent="0.3">
      <c r="B421" s="44"/>
    </row>
    <row r="422" spans="2:2" x14ac:dyDescent="0.3">
      <c r="B422" s="44"/>
    </row>
    <row r="423" spans="2:2" x14ac:dyDescent="0.3">
      <c r="B423" s="44"/>
    </row>
  </sheetData>
  <sheetProtection algorithmName="SHA-512" hashValue="3gpPsPHQCZIzstH89pX/+gb2G7MpI1q4Sf/CNQX1FU9mvE/YUEEo0NUxFpyUV6jVunfxuOOqRdbtCZFbUWU+5A==" saltValue="5KclQtgMbDqf1Ycbu0m2Qg==" spinCount="100000" sheet="1" objects="1" scenarios="1"/>
  <mergeCells count="1">
    <mergeCell ref="B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F13"/>
  <sheetViews>
    <sheetView zoomScaleNormal="100" workbookViewId="0">
      <selection activeCell="H16" sqref="H16"/>
    </sheetView>
  </sheetViews>
  <sheetFormatPr baseColWidth="10" defaultRowHeight="14.4" x14ac:dyDescent="0.3"/>
  <cols>
    <col min="2" max="2" width="53.5546875" bestFit="1" customWidth="1"/>
    <col min="3" max="4" width="26.109375" bestFit="1" customWidth="1"/>
    <col min="5" max="5" width="22.109375" bestFit="1" customWidth="1"/>
    <col min="6" max="6" width="22.5546875" bestFit="1" customWidth="1"/>
  </cols>
  <sheetData>
    <row r="1" spans="1:6" ht="15" thickBot="1" x14ac:dyDescent="0.35">
      <c r="A1" s="330"/>
      <c r="B1" s="330"/>
      <c r="C1" s="330"/>
      <c r="D1" s="330"/>
      <c r="E1" s="330"/>
      <c r="F1" s="330"/>
    </row>
    <row r="2" spans="1:6" ht="16.2" thickBot="1" x14ac:dyDescent="0.35">
      <c r="A2" s="330"/>
      <c r="B2" s="484" t="s">
        <v>358</v>
      </c>
      <c r="C2" s="485"/>
      <c r="D2" s="485"/>
      <c r="E2" s="485"/>
      <c r="F2" s="486"/>
    </row>
    <row r="3" spans="1:6" ht="16.2" thickBot="1" x14ac:dyDescent="0.35">
      <c r="A3" s="330"/>
      <c r="B3" s="394" t="s">
        <v>333</v>
      </c>
      <c r="C3" s="435" t="s">
        <v>351</v>
      </c>
      <c r="D3" s="435" t="s">
        <v>352</v>
      </c>
      <c r="E3" s="435" t="s">
        <v>334</v>
      </c>
      <c r="F3" s="421" t="s">
        <v>338</v>
      </c>
    </row>
    <row r="4" spans="1:6" ht="16.2" thickBot="1" x14ac:dyDescent="0.35">
      <c r="A4" s="330"/>
      <c r="B4" s="392">
        <f>C4+D4+E4+F4</f>
        <v>291114855.72177404</v>
      </c>
      <c r="C4" s="422">
        <f>'Project Finance Model'!E241</f>
        <v>102999199.67178096</v>
      </c>
      <c r="D4" s="422">
        <f>'Project Finance Model'!E242</f>
        <v>170109410.55131397</v>
      </c>
      <c r="E4" s="422">
        <f>SUM('Project Finance Model'!$F$157:$AM$157)</f>
        <v>18006245.498679101</v>
      </c>
      <c r="F4" s="436">
        <f>SUM('Project Finance Model'!$F$243:$AM$243)</f>
        <v>0</v>
      </c>
    </row>
    <row r="5" spans="1:6" x14ac:dyDescent="0.3">
      <c r="A5" s="330"/>
      <c r="B5" s="330"/>
      <c r="C5" s="330"/>
      <c r="D5" s="330"/>
      <c r="E5" s="330"/>
      <c r="F5" s="330"/>
    </row>
    <row r="6" spans="1:6" x14ac:dyDescent="0.3">
      <c r="A6" s="330"/>
      <c r="B6" s="330"/>
      <c r="C6" s="330"/>
      <c r="D6" s="330"/>
      <c r="E6" s="330"/>
      <c r="F6" s="330"/>
    </row>
    <row r="7" spans="1:6" x14ac:dyDescent="0.3">
      <c r="A7" s="330"/>
      <c r="B7" s="330"/>
      <c r="C7" s="330"/>
      <c r="D7" s="330"/>
      <c r="E7" s="330"/>
      <c r="F7" s="330"/>
    </row>
    <row r="8" spans="1:6" x14ac:dyDescent="0.3">
      <c r="A8" s="330"/>
      <c r="B8" s="330"/>
      <c r="C8" s="330"/>
      <c r="D8" s="330"/>
      <c r="E8" s="330"/>
      <c r="F8" s="330"/>
    </row>
    <row r="9" spans="1:6" x14ac:dyDescent="0.3">
      <c r="A9" s="330"/>
      <c r="B9" s="330"/>
      <c r="C9" s="330"/>
      <c r="D9" s="330"/>
      <c r="E9" s="330"/>
      <c r="F9" s="330"/>
    </row>
    <row r="10" spans="1:6" x14ac:dyDescent="0.3">
      <c r="A10" s="330"/>
      <c r="B10" s="330"/>
      <c r="C10" s="330"/>
      <c r="D10" s="330"/>
      <c r="E10" s="330"/>
      <c r="F10" s="330"/>
    </row>
    <row r="11" spans="1:6" x14ac:dyDescent="0.3">
      <c r="A11" s="330"/>
      <c r="B11" s="330"/>
      <c r="C11" s="330"/>
      <c r="D11" s="330"/>
      <c r="E11" s="330"/>
      <c r="F11" s="330"/>
    </row>
    <row r="12" spans="1:6" x14ac:dyDescent="0.3">
      <c r="A12" s="330"/>
      <c r="B12" s="330"/>
      <c r="C12" s="330"/>
      <c r="D12" s="330"/>
      <c r="E12" s="330"/>
      <c r="F12" s="330"/>
    </row>
    <row r="13" spans="1:6" x14ac:dyDescent="0.3">
      <c r="A13" s="330"/>
      <c r="B13" s="330"/>
      <c r="C13" s="330"/>
      <c r="D13" s="330"/>
      <c r="E13" s="330"/>
      <c r="F13" s="330"/>
    </row>
  </sheetData>
  <sheetProtection algorithmName="SHA-512" hashValue="9hPGKCjc1HeomVmZTPb9w048npixLNKTCx/Pk20fS9FkRiui1k4ep5aQNMZtSi+DEKFj+OHLW+wsg1l4pYW+Yg==" saltValue="Uo55GVgc840qqjtPt68LZg==" spinCount="100000" sheet="1" objects="1" scenarios="1"/>
  <mergeCells count="1">
    <mergeCell ref="B2:F2"/>
  </mergeCells>
  <conditionalFormatting sqref="B4">
    <cfRule type="colorScale" priority="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8A5C509811C34983DC4C2557BA2B8B" ma:contentTypeVersion="0" ma:contentTypeDescription="Crear nuevo documento." ma:contentTypeScope="" ma:versionID="fb2fa99566fa6be6fed0d5e4c424ca03">
  <xsd:schema xmlns:xsd="http://www.w3.org/2001/XMLSchema" xmlns:xs="http://www.w3.org/2001/XMLSchema" xmlns:p="http://schemas.microsoft.com/office/2006/metadata/properties" xmlns:ns2="8f7f2b02-361a-46f8-9361-5c4aecfb9ebc" targetNamespace="http://schemas.microsoft.com/office/2006/metadata/properties" ma:root="true" ma:fieldsID="b4c26f74305476fd7b87c9911725229a" ns2:_="">
    <xsd:import namespace="8f7f2b02-361a-46f8-9361-5c4aecfb9eb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7f2b02-361a-46f8-9361-5c4aecfb9eb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f7f2b02-361a-46f8-9361-5c4aecfb9ebc">CFA3TTQ3VTST-23-76</_dlc_DocId>
    <_dlc_DocIdUrl xmlns="8f7f2b02-361a-46f8-9361-5c4aecfb9ebc">
      <Url>https://guayaquil.gob.ec/_layouts/15/DocIdRedir.aspx?ID=CFA3TTQ3VTST-23-76</Url>
      <Description>CFA3TTQ3VTST-23-76</Description>
    </_dlc_DocIdUrl>
  </documentManagement>
</p:properties>
</file>

<file path=customXml/itemProps1.xml><?xml version="1.0" encoding="utf-8"?>
<ds:datastoreItem xmlns:ds="http://schemas.openxmlformats.org/officeDocument/2006/customXml" ds:itemID="{FD5074FD-3093-4C0C-B484-15FEC60D2E7F}"/>
</file>

<file path=customXml/itemProps2.xml><?xml version="1.0" encoding="utf-8"?>
<ds:datastoreItem xmlns:ds="http://schemas.openxmlformats.org/officeDocument/2006/customXml" ds:itemID="{2060FE52-A45F-4BBD-A21D-5FB2E617C8CA}"/>
</file>

<file path=customXml/itemProps3.xml><?xml version="1.0" encoding="utf-8"?>
<ds:datastoreItem xmlns:ds="http://schemas.openxmlformats.org/officeDocument/2006/customXml" ds:itemID="{D5D5762A-B3DF-4995-9D89-E64684891D26}"/>
</file>

<file path=customXml/itemProps4.xml><?xml version="1.0" encoding="utf-8"?>
<ds:datastoreItem xmlns:ds="http://schemas.openxmlformats.org/officeDocument/2006/customXml" ds:itemID="{719A8D62-FDD1-4787-976B-96F5049626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Mensaje</vt:lpstr>
      <vt:lpstr>Global Financial Model</vt:lpstr>
      <vt:lpstr>Project Finance Model</vt:lpstr>
      <vt:lpstr>Balance_SPV</vt:lpstr>
      <vt:lpstr>Balance_Municipality</vt:lpstr>
    </vt:vector>
  </TitlesOfParts>
  <Company>SYSTRA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MIRAILLES Jean Marc</dc:creator>
  <cp:lastModifiedBy>Jean-Marc Mirailles</cp:lastModifiedBy>
  <dcterms:created xsi:type="dcterms:W3CDTF">2015-03-08T21:11:25Z</dcterms:created>
  <dcterms:modified xsi:type="dcterms:W3CDTF">2015-06-06T21:28:48Z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0x010100078A5C509811C34983DC4C2557BA2B8B</vt:lpwstr>
  </property>
  <property fmtid="{D5CDD505-2E9C-101B-9397-08002B2CF9AE}" pid="3" name="_dlc_DocIdItemGuid">
    <vt:lpwstr>753f671b-b476-4d8e-9f4a-ccdd6f8c361f</vt:lpwstr>
  </property>
</Properties>
</file>